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00" windowHeight="11760" tabRatio="747"/>
  </bookViews>
  <sheets>
    <sheet name="RESUMO" sheetId="5" r:id="rId1"/>
    <sheet name="arqeng" sheetId="2" r:id="rId2"/>
    <sheet name="engmec" sheetId="16" r:id="rId3"/>
    <sheet name="engeletr" sheetId="17" r:id="rId4"/>
    <sheet name="EPIs" sheetId="3" r:id="rId5"/>
    <sheet name="Hora extra" sheetId="4" r:id="rId6"/>
    <sheet name="Deslocamento 1 município" sheetId="6" r:id="rId7"/>
    <sheet name="Deslocamento 2 municípios" sheetId="7" r:id="rId8"/>
    <sheet name="Deslocamento 3 municípios" sheetId="8" r:id="rId9"/>
    <sheet name="Deslocamento 4 municípios" sheetId="9" r:id="rId10"/>
    <sheet name="Deslocamento 5 municípios" sheetId="10" r:id="rId11"/>
    <sheet name="DESLOC.MÉDIO" sheetId="11" r:id="rId12"/>
    <sheet name="Valor médio gasolina comum" sheetId="13" r:id="rId13"/>
    <sheet name="Valor médio de diárias de carro" sheetId="14" r:id="rId14"/>
    <sheet name="Valor diarias de hotel e alimen" sheetId="15" r:id="rId15"/>
    <sheet name="Plan1" sheetId="18" r:id="rId16"/>
  </sheets>
  <definedNames>
    <definedName name="_xlnm.Print_Area" localSheetId="1">arqeng!$A$1:$D$140</definedName>
    <definedName name="_xlnm.Print_Area" localSheetId="11">DESLOC.MÉDIO!$A$1:$B$11</definedName>
    <definedName name="_xlnm.Print_Area" localSheetId="6">'Deslocamento 1 município'!$A$1:$O$37</definedName>
    <definedName name="_xlnm.Print_Area" localSheetId="7">'Deslocamento 2 municípios'!$A$1:$O$46</definedName>
    <definedName name="_xlnm.Print_Area" localSheetId="8">'Deslocamento 3 municípios'!$A$1:$O$43</definedName>
    <definedName name="_xlnm.Print_Area" localSheetId="9">'Deslocamento 4 municípios'!$A$1:$O$40</definedName>
    <definedName name="_xlnm.Print_Area" localSheetId="10">'Deslocamento 5 municípios'!$A$1:$O$36</definedName>
    <definedName name="_xlnm.Print_Area" localSheetId="3">engeletr!$A$1:$D$140</definedName>
    <definedName name="_xlnm.Print_Area" localSheetId="2">engmec!$A$1:$D$140</definedName>
    <definedName name="_xlnm.Print_Area" localSheetId="0">RESUMO!$A$1:$G$17</definedName>
    <definedName name="Print_Area" localSheetId="0">RESUMO!$A$8:$J$9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3" i="14" l="1"/>
  <c r="A11" i="5"/>
  <c r="A10" i="5"/>
  <c r="A9" i="5"/>
  <c r="C123" i="17"/>
  <c r="C127" i="17" s="1"/>
  <c r="D113" i="17"/>
  <c r="C89" i="17"/>
  <c r="C88" i="17"/>
  <c r="C87" i="17"/>
  <c r="C86" i="17"/>
  <c r="C85" i="17"/>
  <c r="C75" i="17"/>
  <c r="C73" i="17"/>
  <c r="C72" i="17"/>
  <c r="C70" i="17"/>
  <c r="D55" i="17"/>
  <c r="D63" i="17" s="1"/>
  <c r="C44" i="17"/>
  <c r="C74" i="17" s="1"/>
  <c r="C29" i="17"/>
  <c r="C28" i="17"/>
  <c r="D20" i="17"/>
  <c r="C123" i="16"/>
  <c r="C127" i="16" s="1"/>
  <c r="D113" i="16"/>
  <c r="C89" i="16"/>
  <c r="C88" i="16"/>
  <c r="C87" i="16"/>
  <c r="C86" i="16"/>
  <c r="C85" i="16"/>
  <c r="C75" i="16"/>
  <c r="C73" i="16"/>
  <c r="C72" i="16"/>
  <c r="C70" i="16"/>
  <c r="D63" i="16"/>
  <c r="D55" i="16"/>
  <c r="C44" i="16"/>
  <c r="C74" i="16" s="1"/>
  <c r="C29" i="16"/>
  <c r="C28" i="16"/>
  <c r="D20" i="16"/>
  <c r="D75" i="16" s="1"/>
  <c r="D28" i="16" l="1"/>
  <c r="D72" i="16"/>
  <c r="D73" i="16"/>
  <c r="D74" i="16" s="1"/>
  <c r="D29" i="16"/>
  <c r="D133" i="16"/>
  <c r="D70" i="16"/>
  <c r="D28" i="17"/>
  <c r="D133" i="17"/>
  <c r="D29" i="17"/>
  <c r="D70" i="17"/>
  <c r="D75" i="17"/>
  <c r="D72" i="17"/>
  <c r="D73" i="17"/>
  <c r="D74" i="17" s="1"/>
  <c r="D71" i="16"/>
  <c r="F11" i="8"/>
  <c r="D30" i="16" l="1"/>
  <c r="D30" i="17"/>
  <c r="D76" i="16"/>
  <c r="D135" i="16" s="1"/>
  <c r="D41" i="17"/>
  <c r="D71" i="17"/>
  <c r="D76" i="17" s="1"/>
  <c r="D135" i="17" s="1"/>
  <c r="F11" i="9"/>
  <c r="F11" i="10"/>
  <c r="F11" i="7"/>
  <c r="F11" i="6"/>
  <c r="E9" i="15"/>
  <c r="B9" i="15"/>
  <c r="C12" i="15" s="1"/>
  <c r="B14" i="14"/>
  <c r="C24" i="13"/>
  <c r="F9" i="6" s="1"/>
  <c r="F7" i="7" l="1"/>
  <c r="F7" i="9"/>
  <c r="F7" i="6"/>
  <c r="F7" i="8"/>
  <c r="F7" i="10"/>
  <c r="D41" i="16"/>
  <c r="D39" i="16"/>
  <c r="D36" i="16"/>
  <c r="D38" i="16"/>
  <c r="D42" i="16"/>
  <c r="D37" i="16"/>
  <c r="D40" i="16"/>
  <c r="D61" i="16"/>
  <c r="D43" i="16"/>
  <c r="F9" i="7"/>
  <c r="F9" i="10"/>
  <c r="F9" i="9"/>
  <c r="F9" i="8"/>
  <c r="D61" i="17"/>
  <c r="D42" i="17"/>
  <c r="D38" i="17"/>
  <c r="D36" i="17"/>
  <c r="D44" i="17" s="1"/>
  <c r="D62" i="17" s="1"/>
  <c r="D64" i="17" s="1"/>
  <c r="D37" i="17"/>
  <c r="D40" i="17"/>
  <c r="D43" i="17"/>
  <c r="D39" i="17"/>
  <c r="D113" i="2"/>
  <c r="D44" i="16" l="1"/>
  <c r="D62" i="16" s="1"/>
  <c r="D64" i="16" s="1"/>
  <c r="D134" i="17"/>
  <c r="D97" i="17"/>
  <c r="D98" i="17" s="1"/>
  <c r="D105" i="17" s="1"/>
  <c r="D86" i="17"/>
  <c r="D85" i="17"/>
  <c r="D87" i="17"/>
  <c r="D88" i="17"/>
  <c r="D89" i="17"/>
  <c r="D90" i="17"/>
  <c r="C123" i="2"/>
  <c r="C127" i="2" s="1"/>
  <c r="F16" i="5" s="1"/>
  <c r="D20" i="2"/>
  <c r="D36" i="10"/>
  <c r="F36" i="10" s="1"/>
  <c r="G36" i="10" s="1"/>
  <c r="H36" i="10" s="1"/>
  <c r="C36" i="10"/>
  <c r="J36" i="10" s="1"/>
  <c r="J35" i="10"/>
  <c r="D35" i="10"/>
  <c r="F35" i="10" s="1"/>
  <c r="G35" i="10" s="1"/>
  <c r="H35" i="10" s="1"/>
  <c r="K35" i="10" s="1"/>
  <c r="C35" i="10"/>
  <c r="J34" i="10"/>
  <c r="D34" i="10"/>
  <c r="F34" i="10" s="1"/>
  <c r="G34" i="10" s="1"/>
  <c r="H34" i="10" s="1"/>
  <c r="I34" i="10" s="1"/>
  <c r="L34" i="10" s="1"/>
  <c r="C34" i="10"/>
  <c r="D33" i="10"/>
  <c r="F33" i="10" s="1"/>
  <c r="G33" i="10" s="1"/>
  <c r="H33" i="10" s="1"/>
  <c r="I33" i="10" s="1"/>
  <c r="L33" i="10" s="1"/>
  <c r="C33" i="10"/>
  <c r="J33" i="10" s="1"/>
  <c r="J32" i="10"/>
  <c r="D32" i="10"/>
  <c r="F32" i="10" s="1"/>
  <c r="G32" i="10" s="1"/>
  <c r="H32" i="10" s="1"/>
  <c r="C32" i="10"/>
  <c r="D31" i="10"/>
  <c r="F31" i="10" s="1"/>
  <c r="G31" i="10" s="1"/>
  <c r="H31" i="10" s="1"/>
  <c r="C31" i="10"/>
  <c r="J31" i="10" s="1"/>
  <c r="D30" i="10"/>
  <c r="F30" i="10" s="1"/>
  <c r="G30" i="10" s="1"/>
  <c r="H30" i="10" s="1"/>
  <c r="C30" i="10"/>
  <c r="J30" i="10" s="1"/>
  <c r="J29" i="10"/>
  <c r="D29" i="10"/>
  <c r="F29" i="10" s="1"/>
  <c r="G29" i="10" s="1"/>
  <c r="H29" i="10" s="1"/>
  <c r="C29" i="10"/>
  <c r="D28" i="10"/>
  <c r="F28" i="10" s="1"/>
  <c r="G28" i="10" s="1"/>
  <c r="H28" i="10" s="1"/>
  <c r="K28" i="10" s="1"/>
  <c r="C28" i="10"/>
  <c r="J28" i="10" s="1"/>
  <c r="D27" i="10"/>
  <c r="F27" i="10" s="1"/>
  <c r="G27" i="10" s="1"/>
  <c r="H27" i="10" s="1"/>
  <c r="K27" i="10" s="1"/>
  <c r="C27" i="10"/>
  <c r="J27" i="10" s="1"/>
  <c r="K26" i="10"/>
  <c r="J26" i="10"/>
  <c r="D26" i="10"/>
  <c r="F26" i="10" s="1"/>
  <c r="G26" i="10" s="1"/>
  <c r="H26" i="10" s="1"/>
  <c r="I26" i="10" s="1"/>
  <c r="L26" i="10" s="1"/>
  <c r="C26" i="10"/>
  <c r="D25" i="10"/>
  <c r="F25" i="10" s="1"/>
  <c r="G25" i="10" s="1"/>
  <c r="H25" i="10" s="1"/>
  <c r="K25" i="10" s="1"/>
  <c r="C25" i="10"/>
  <c r="J25" i="10" s="1"/>
  <c r="J24" i="10"/>
  <c r="G24" i="10"/>
  <c r="H24" i="10" s="1"/>
  <c r="K24" i="10" s="1"/>
  <c r="D24" i="10"/>
  <c r="F24" i="10" s="1"/>
  <c r="C24" i="10"/>
  <c r="D23" i="10"/>
  <c r="F23" i="10" s="1"/>
  <c r="G23" i="10" s="1"/>
  <c r="H23" i="10" s="1"/>
  <c r="C23" i="10"/>
  <c r="J23" i="10" s="1"/>
  <c r="D22" i="10"/>
  <c r="F22" i="10" s="1"/>
  <c r="G22" i="10" s="1"/>
  <c r="H22" i="10" s="1"/>
  <c r="I22" i="10" s="1"/>
  <c r="L22" i="10" s="1"/>
  <c r="C22" i="10"/>
  <c r="J22" i="10" s="1"/>
  <c r="D21" i="10"/>
  <c r="F21" i="10" s="1"/>
  <c r="G21" i="10" s="1"/>
  <c r="H21" i="10" s="1"/>
  <c r="K21" i="10" s="1"/>
  <c r="C21" i="10"/>
  <c r="J21" i="10" s="1"/>
  <c r="D20" i="10"/>
  <c r="F20" i="10" s="1"/>
  <c r="G20" i="10" s="1"/>
  <c r="H20" i="10" s="1"/>
  <c r="I20" i="10" s="1"/>
  <c r="L20" i="10" s="1"/>
  <c r="C20" i="10"/>
  <c r="J20" i="10" s="1"/>
  <c r="D19" i="10"/>
  <c r="F19" i="10" s="1"/>
  <c r="G19" i="10" s="1"/>
  <c r="H19" i="10" s="1"/>
  <c r="I19" i="10" s="1"/>
  <c r="L19" i="10" s="1"/>
  <c r="C19" i="10"/>
  <c r="J19" i="10" s="1"/>
  <c r="D18" i="10"/>
  <c r="F18" i="10" s="1"/>
  <c r="G18" i="10" s="1"/>
  <c r="H18" i="10" s="1"/>
  <c r="C18" i="10"/>
  <c r="J18" i="10" s="1"/>
  <c r="J17" i="10"/>
  <c r="D17" i="10"/>
  <c r="F17" i="10" s="1"/>
  <c r="G17" i="10" s="1"/>
  <c r="H17" i="10" s="1"/>
  <c r="C17" i="10"/>
  <c r="F40" i="9"/>
  <c r="G40" i="9" s="1"/>
  <c r="H40" i="9" s="1"/>
  <c r="K40" i="9" s="1"/>
  <c r="D40" i="9"/>
  <c r="C40" i="9"/>
  <c r="J40" i="9" s="1"/>
  <c r="J39" i="9"/>
  <c r="F39" i="9"/>
  <c r="G39" i="9" s="1"/>
  <c r="H39" i="9" s="1"/>
  <c r="D39" i="9"/>
  <c r="C39" i="9"/>
  <c r="G38" i="9"/>
  <c r="H38" i="9" s="1"/>
  <c r="K38" i="9" s="1"/>
  <c r="F38" i="9"/>
  <c r="D38" i="9"/>
  <c r="C38" i="9"/>
  <c r="J38" i="9" s="1"/>
  <c r="J37" i="9"/>
  <c r="D37" i="9"/>
  <c r="F37" i="9" s="1"/>
  <c r="G37" i="9" s="1"/>
  <c r="H37" i="9" s="1"/>
  <c r="C37" i="9"/>
  <c r="H36" i="9"/>
  <c r="I36" i="9" s="1"/>
  <c r="L36" i="9" s="1"/>
  <c r="D36" i="9"/>
  <c r="F36" i="9" s="1"/>
  <c r="G36" i="9" s="1"/>
  <c r="C36" i="9"/>
  <c r="J36" i="9" s="1"/>
  <c r="D35" i="9"/>
  <c r="F35" i="9" s="1"/>
  <c r="G35" i="9" s="1"/>
  <c r="H35" i="9" s="1"/>
  <c r="C35" i="9"/>
  <c r="J35" i="9" s="1"/>
  <c r="J34" i="9"/>
  <c r="D34" i="9"/>
  <c r="F34" i="9" s="1"/>
  <c r="G34" i="9" s="1"/>
  <c r="H34" i="9" s="1"/>
  <c r="C34" i="9"/>
  <c r="D33" i="9"/>
  <c r="F33" i="9" s="1"/>
  <c r="G33" i="9" s="1"/>
  <c r="H33" i="9" s="1"/>
  <c r="C33" i="9"/>
  <c r="J33" i="9" s="1"/>
  <c r="D32" i="9"/>
  <c r="F32" i="9" s="1"/>
  <c r="G32" i="9" s="1"/>
  <c r="H32" i="9" s="1"/>
  <c r="K32" i="9" s="1"/>
  <c r="C32" i="9"/>
  <c r="J32" i="9" s="1"/>
  <c r="J31" i="9"/>
  <c r="D31" i="9"/>
  <c r="F31" i="9" s="1"/>
  <c r="G31" i="9" s="1"/>
  <c r="H31" i="9" s="1"/>
  <c r="C31" i="9"/>
  <c r="D30" i="9"/>
  <c r="F30" i="9" s="1"/>
  <c r="G30" i="9" s="1"/>
  <c r="H30" i="9" s="1"/>
  <c r="C30" i="9"/>
  <c r="J30" i="9" s="1"/>
  <c r="D29" i="9"/>
  <c r="F29" i="9" s="1"/>
  <c r="G29" i="9" s="1"/>
  <c r="H29" i="9" s="1"/>
  <c r="K29" i="9" s="1"/>
  <c r="C29" i="9"/>
  <c r="J29" i="9" s="1"/>
  <c r="J28" i="9"/>
  <c r="G28" i="9"/>
  <c r="H28" i="9" s="1"/>
  <c r="D28" i="9"/>
  <c r="F28" i="9" s="1"/>
  <c r="C28" i="9"/>
  <c r="J27" i="9"/>
  <c r="D27" i="9"/>
  <c r="F27" i="9" s="1"/>
  <c r="G27" i="9" s="1"/>
  <c r="H27" i="9" s="1"/>
  <c r="C27" i="9"/>
  <c r="J26" i="9"/>
  <c r="F26" i="9"/>
  <c r="G26" i="9" s="1"/>
  <c r="H26" i="9" s="1"/>
  <c r="D26" i="9"/>
  <c r="C26" i="9"/>
  <c r="D25" i="9"/>
  <c r="F25" i="9" s="1"/>
  <c r="G25" i="9" s="1"/>
  <c r="H25" i="9" s="1"/>
  <c r="K25" i="9" s="1"/>
  <c r="C25" i="9"/>
  <c r="J25" i="9" s="1"/>
  <c r="D24" i="9"/>
  <c r="F24" i="9" s="1"/>
  <c r="G24" i="9" s="1"/>
  <c r="H24" i="9" s="1"/>
  <c r="K24" i="9" s="1"/>
  <c r="C24" i="9"/>
  <c r="J24" i="9" s="1"/>
  <c r="D23" i="9"/>
  <c r="F23" i="9" s="1"/>
  <c r="G23" i="9" s="1"/>
  <c r="H23" i="9" s="1"/>
  <c r="C23" i="9"/>
  <c r="J23" i="9" s="1"/>
  <c r="F22" i="9"/>
  <c r="G22" i="9" s="1"/>
  <c r="H22" i="9" s="1"/>
  <c r="D22" i="9"/>
  <c r="C22" i="9"/>
  <c r="J22" i="9" s="1"/>
  <c r="D21" i="9"/>
  <c r="F21" i="9" s="1"/>
  <c r="G21" i="9" s="1"/>
  <c r="H21" i="9" s="1"/>
  <c r="C21" i="9"/>
  <c r="J21" i="9" s="1"/>
  <c r="J20" i="9"/>
  <c r="D20" i="9"/>
  <c r="F20" i="9" s="1"/>
  <c r="G20" i="9" s="1"/>
  <c r="H20" i="9" s="1"/>
  <c r="C20" i="9"/>
  <c r="F19" i="9"/>
  <c r="G19" i="9" s="1"/>
  <c r="H19" i="9" s="1"/>
  <c r="D19" i="9"/>
  <c r="C19" i="9"/>
  <c r="J19" i="9" s="1"/>
  <c r="D18" i="9"/>
  <c r="F18" i="9" s="1"/>
  <c r="G18" i="9" s="1"/>
  <c r="H18" i="9" s="1"/>
  <c r="C18" i="9"/>
  <c r="J18" i="9" s="1"/>
  <c r="D43" i="8"/>
  <c r="F43" i="8" s="1"/>
  <c r="G43" i="8" s="1"/>
  <c r="H43" i="8" s="1"/>
  <c r="K43" i="8" s="1"/>
  <c r="C43" i="8"/>
  <c r="J43" i="8" s="1"/>
  <c r="D42" i="8"/>
  <c r="F42" i="8" s="1"/>
  <c r="G42" i="8" s="1"/>
  <c r="H42" i="8" s="1"/>
  <c r="K42" i="8" s="1"/>
  <c r="C42" i="8"/>
  <c r="J42" i="8" s="1"/>
  <c r="F41" i="8"/>
  <c r="G41" i="8" s="1"/>
  <c r="H41" i="8" s="1"/>
  <c r="K41" i="8" s="1"/>
  <c r="D41" i="8"/>
  <c r="C41" i="8"/>
  <c r="J41" i="8" s="1"/>
  <c r="D40" i="8"/>
  <c r="F40" i="8" s="1"/>
  <c r="G40" i="8" s="1"/>
  <c r="H40" i="8" s="1"/>
  <c r="C40" i="8"/>
  <c r="J40" i="8" s="1"/>
  <c r="J39" i="8"/>
  <c r="D39" i="8"/>
  <c r="F39" i="8" s="1"/>
  <c r="G39" i="8" s="1"/>
  <c r="H39" i="8" s="1"/>
  <c r="C39" i="8"/>
  <c r="F38" i="8"/>
  <c r="G38" i="8" s="1"/>
  <c r="H38" i="8" s="1"/>
  <c r="D38" i="8"/>
  <c r="C38" i="8"/>
  <c r="J38" i="8" s="1"/>
  <c r="F37" i="8"/>
  <c r="G37" i="8" s="1"/>
  <c r="H37" i="8" s="1"/>
  <c r="K37" i="8" s="1"/>
  <c r="D37" i="8"/>
  <c r="C37" i="8"/>
  <c r="J37" i="8" s="1"/>
  <c r="D36" i="8"/>
  <c r="F36" i="8" s="1"/>
  <c r="G36" i="8" s="1"/>
  <c r="H36" i="8" s="1"/>
  <c r="C36" i="8"/>
  <c r="J36" i="8" s="1"/>
  <c r="F35" i="8"/>
  <c r="G35" i="8" s="1"/>
  <c r="H35" i="8" s="1"/>
  <c r="K35" i="8" s="1"/>
  <c r="D35" i="8"/>
  <c r="C35" i="8"/>
  <c r="J35" i="8" s="1"/>
  <c r="D34" i="8"/>
  <c r="F34" i="8" s="1"/>
  <c r="G34" i="8" s="1"/>
  <c r="H34" i="8" s="1"/>
  <c r="I34" i="8" s="1"/>
  <c r="L34" i="8" s="1"/>
  <c r="C34" i="8"/>
  <c r="J34" i="8" s="1"/>
  <c r="F33" i="8"/>
  <c r="G33" i="8" s="1"/>
  <c r="H33" i="8" s="1"/>
  <c r="D33" i="8"/>
  <c r="C33" i="8"/>
  <c r="J33" i="8" s="1"/>
  <c r="F32" i="8"/>
  <c r="G32" i="8" s="1"/>
  <c r="H32" i="8" s="1"/>
  <c r="D32" i="8"/>
  <c r="C32" i="8"/>
  <c r="J32" i="8" s="1"/>
  <c r="F31" i="8"/>
  <c r="G31" i="8" s="1"/>
  <c r="H31" i="8" s="1"/>
  <c r="D31" i="8"/>
  <c r="C31" i="8"/>
  <c r="J31" i="8" s="1"/>
  <c r="D30" i="8"/>
  <c r="F30" i="8" s="1"/>
  <c r="G30" i="8" s="1"/>
  <c r="H30" i="8" s="1"/>
  <c r="K30" i="8" s="1"/>
  <c r="C30" i="8"/>
  <c r="J30" i="8" s="1"/>
  <c r="K29" i="8"/>
  <c r="I29" i="8"/>
  <c r="L29" i="8" s="1"/>
  <c r="D29" i="8"/>
  <c r="F29" i="8" s="1"/>
  <c r="G29" i="8" s="1"/>
  <c r="H29" i="8" s="1"/>
  <c r="C29" i="8"/>
  <c r="J29" i="8" s="1"/>
  <c r="D28" i="8"/>
  <c r="F28" i="8" s="1"/>
  <c r="G28" i="8" s="1"/>
  <c r="H28" i="8" s="1"/>
  <c r="C28" i="8"/>
  <c r="J28" i="8" s="1"/>
  <c r="D27" i="8"/>
  <c r="F27" i="8" s="1"/>
  <c r="G27" i="8" s="1"/>
  <c r="H27" i="8" s="1"/>
  <c r="C27" i="8"/>
  <c r="J27" i="8" s="1"/>
  <c r="D26" i="8"/>
  <c r="F26" i="8" s="1"/>
  <c r="G26" i="8" s="1"/>
  <c r="H26" i="8" s="1"/>
  <c r="C26" i="8"/>
  <c r="J26" i="8" s="1"/>
  <c r="D25" i="8"/>
  <c r="F25" i="8" s="1"/>
  <c r="G25" i="8" s="1"/>
  <c r="H25" i="8" s="1"/>
  <c r="C25" i="8"/>
  <c r="J25" i="8" s="1"/>
  <c r="J24" i="8"/>
  <c r="D24" i="8"/>
  <c r="F24" i="8" s="1"/>
  <c r="G24" i="8" s="1"/>
  <c r="H24" i="8" s="1"/>
  <c r="C24" i="8"/>
  <c r="D23" i="8"/>
  <c r="F23" i="8" s="1"/>
  <c r="G23" i="8" s="1"/>
  <c r="H23" i="8" s="1"/>
  <c r="K23" i="8" s="1"/>
  <c r="C23" i="8"/>
  <c r="J23" i="8" s="1"/>
  <c r="J22" i="8"/>
  <c r="D22" i="8"/>
  <c r="F22" i="8" s="1"/>
  <c r="G22" i="8" s="1"/>
  <c r="H22" i="8" s="1"/>
  <c r="C22" i="8"/>
  <c r="D21" i="8"/>
  <c r="F21" i="8" s="1"/>
  <c r="G21" i="8" s="1"/>
  <c r="H21" i="8" s="1"/>
  <c r="C21" i="8"/>
  <c r="J21" i="8" s="1"/>
  <c r="J20" i="8"/>
  <c r="D20" i="8"/>
  <c r="F20" i="8" s="1"/>
  <c r="G20" i="8" s="1"/>
  <c r="H20" i="8" s="1"/>
  <c r="K20" i="8" s="1"/>
  <c r="C20" i="8"/>
  <c r="D19" i="8"/>
  <c r="F19" i="8" s="1"/>
  <c r="G19" i="8" s="1"/>
  <c r="H19" i="8" s="1"/>
  <c r="C19" i="8"/>
  <c r="J19" i="8" s="1"/>
  <c r="G18" i="8"/>
  <c r="H18" i="8" s="1"/>
  <c r="I18" i="8" s="1"/>
  <c r="L18" i="8" s="1"/>
  <c r="D18" i="8"/>
  <c r="F18" i="8" s="1"/>
  <c r="C18" i="8"/>
  <c r="J18" i="8" s="1"/>
  <c r="F17" i="8"/>
  <c r="G17" i="8" s="1"/>
  <c r="H17" i="8" s="1"/>
  <c r="D17" i="8"/>
  <c r="C17" i="8"/>
  <c r="J17" i="8" s="1"/>
  <c r="F46" i="7"/>
  <c r="G46" i="7" s="1"/>
  <c r="H46" i="7" s="1"/>
  <c r="D46" i="7"/>
  <c r="C46" i="7"/>
  <c r="J46" i="7" s="1"/>
  <c r="F45" i="7"/>
  <c r="G45" i="7" s="1"/>
  <c r="H45" i="7" s="1"/>
  <c r="K45" i="7" s="1"/>
  <c r="D45" i="7"/>
  <c r="C45" i="7"/>
  <c r="J45" i="7" s="1"/>
  <c r="F44" i="7"/>
  <c r="G44" i="7" s="1"/>
  <c r="H44" i="7" s="1"/>
  <c r="K44" i="7" s="1"/>
  <c r="D44" i="7"/>
  <c r="C44" i="7"/>
  <c r="J44" i="7" s="1"/>
  <c r="F43" i="7"/>
  <c r="G43" i="7" s="1"/>
  <c r="H43" i="7" s="1"/>
  <c r="D43" i="7"/>
  <c r="C43" i="7"/>
  <c r="J43" i="7" s="1"/>
  <c r="F42" i="7"/>
  <c r="G42" i="7" s="1"/>
  <c r="H42" i="7" s="1"/>
  <c r="I42" i="7" s="1"/>
  <c r="L42" i="7" s="1"/>
  <c r="D42" i="7"/>
  <c r="C42" i="7"/>
  <c r="J42" i="7" s="1"/>
  <c r="J41" i="7"/>
  <c r="F41" i="7"/>
  <c r="G41" i="7" s="1"/>
  <c r="H41" i="7" s="1"/>
  <c r="D41" i="7"/>
  <c r="C41" i="7"/>
  <c r="J40" i="7"/>
  <c r="F40" i="7"/>
  <c r="G40" i="7" s="1"/>
  <c r="H40" i="7" s="1"/>
  <c r="D40" i="7"/>
  <c r="C40" i="7"/>
  <c r="J39" i="7"/>
  <c r="D39" i="7"/>
  <c r="F39" i="7" s="1"/>
  <c r="G39" i="7" s="1"/>
  <c r="H39" i="7" s="1"/>
  <c r="C39" i="7"/>
  <c r="J38" i="7"/>
  <c r="D38" i="7"/>
  <c r="F38" i="7" s="1"/>
  <c r="G38" i="7" s="1"/>
  <c r="H38" i="7" s="1"/>
  <c r="I38" i="7" s="1"/>
  <c r="L38" i="7" s="1"/>
  <c r="C38" i="7"/>
  <c r="J37" i="7"/>
  <c r="D37" i="7"/>
  <c r="F37" i="7" s="1"/>
  <c r="G37" i="7" s="1"/>
  <c r="H37" i="7" s="1"/>
  <c r="C37" i="7"/>
  <c r="J36" i="7"/>
  <c r="D36" i="7"/>
  <c r="F36" i="7" s="1"/>
  <c r="G36" i="7" s="1"/>
  <c r="H36" i="7" s="1"/>
  <c r="C36" i="7"/>
  <c r="D35" i="7"/>
  <c r="F35" i="7" s="1"/>
  <c r="G35" i="7" s="1"/>
  <c r="H35" i="7" s="1"/>
  <c r="K35" i="7" s="1"/>
  <c r="C35" i="7"/>
  <c r="J35" i="7" s="1"/>
  <c r="J34" i="7"/>
  <c r="D34" i="7"/>
  <c r="F34" i="7" s="1"/>
  <c r="G34" i="7" s="1"/>
  <c r="H34" i="7" s="1"/>
  <c r="C34" i="7"/>
  <c r="D33" i="7"/>
  <c r="F33" i="7" s="1"/>
  <c r="G33" i="7" s="1"/>
  <c r="H33" i="7" s="1"/>
  <c r="K33" i="7" s="1"/>
  <c r="C33" i="7"/>
  <c r="J33" i="7" s="1"/>
  <c r="J32" i="7"/>
  <c r="G32" i="7"/>
  <c r="H32" i="7" s="1"/>
  <c r="K32" i="7" s="1"/>
  <c r="D32" i="7"/>
  <c r="F32" i="7" s="1"/>
  <c r="C32" i="7"/>
  <c r="D31" i="7"/>
  <c r="F31" i="7" s="1"/>
  <c r="G31" i="7" s="1"/>
  <c r="H31" i="7" s="1"/>
  <c r="C31" i="7"/>
  <c r="J31" i="7" s="1"/>
  <c r="D30" i="7"/>
  <c r="F30" i="7" s="1"/>
  <c r="G30" i="7" s="1"/>
  <c r="H30" i="7" s="1"/>
  <c r="C30" i="7"/>
  <c r="J30" i="7" s="1"/>
  <c r="J29" i="7"/>
  <c r="D29" i="7"/>
  <c r="F29" i="7" s="1"/>
  <c r="G29" i="7" s="1"/>
  <c r="H29" i="7" s="1"/>
  <c r="K29" i="7" s="1"/>
  <c r="C29" i="7"/>
  <c r="J28" i="7"/>
  <c r="F28" i="7"/>
  <c r="G28" i="7" s="1"/>
  <c r="H28" i="7" s="1"/>
  <c r="D28" i="7"/>
  <c r="C28" i="7"/>
  <c r="D27" i="7"/>
  <c r="F27" i="7" s="1"/>
  <c r="G27" i="7" s="1"/>
  <c r="H27" i="7" s="1"/>
  <c r="C27" i="7"/>
  <c r="J27" i="7" s="1"/>
  <c r="D26" i="7"/>
  <c r="F26" i="7" s="1"/>
  <c r="G26" i="7" s="1"/>
  <c r="H26" i="7" s="1"/>
  <c r="I26" i="7" s="1"/>
  <c r="L26" i="7" s="1"/>
  <c r="C26" i="7"/>
  <c r="J26" i="7" s="1"/>
  <c r="J25" i="7"/>
  <c r="D25" i="7"/>
  <c r="F25" i="7" s="1"/>
  <c r="G25" i="7" s="1"/>
  <c r="H25" i="7" s="1"/>
  <c r="K25" i="7" s="1"/>
  <c r="C25" i="7"/>
  <c r="J24" i="7"/>
  <c r="F24" i="7"/>
  <c r="G24" i="7" s="1"/>
  <c r="H24" i="7" s="1"/>
  <c r="D24" i="7"/>
  <c r="C24" i="7"/>
  <c r="F23" i="7"/>
  <c r="G23" i="7" s="1"/>
  <c r="H23" i="7" s="1"/>
  <c r="D23" i="7"/>
  <c r="C23" i="7"/>
  <c r="J23" i="7" s="1"/>
  <c r="D22" i="7"/>
  <c r="F22" i="7" s="1"/>
  <c r="G22" i="7" s="1"/>
  <c r="H22" i="7" s="1"/>
  <c r="C22" i="7"/>
  <c r="J22" i="7" s="1"/>
  <c r="J21" i="7"/>
  <c r="F21" i="7"/>
  <c r="G21" i="7" s="1"/>
  <c r="H21" i="7" s="1"/>
  <c r="D21" i="7"/>
  <c r="C21" i="7"/>
  <c r="J20" i="7"/>
  <c r="F20" i="7"/>
  <c r="G20" i="7" s="1"/>
  <c r="H20" i="7" s="1"/>
  <c r="K20" i="7" s="1"/>
  <c r="D20" i="7"/>
  <c r="C20" i="7"/>
  <c r="D19" i="7"/>
  <c r="F19" i="7" s="1"/>
  <c r="G19" i="7" s="1"/>
  <c r="H19" i="7" s="1"/>
  <c r="C19" i="7"/>
  <c r="J19" i="7" s="1"/>
  <c r="J18" i="7"/>
  <c r="D18" i="7"/>
  <c r="F18" i="7" s="1"/>
  <c r="G18" i="7" s="1"/>
  <c r="H18" i="7" s="1"/>
  <c r="C18" i="7"/>
  <c r="F17" i="7"/>
  <c r="G17" i="7" s="1"/>
  <c r="H17" i="7" s="1"/>
  <c r="D17" i="7"/>
  <c r="C17" i="7"/>
  <c r="J17" i="7" s="1"/>
  <c r="J37" i="6"/>
  <c r="D37" i="6"/>
  <c r="F37" i="6" s="1"/>
  <c r="G37" i="6" s="1"/>
  <c r="H37" i="6" s="1"/>
  <c r="C37" i="6"/>
  <c r="D36" i="6"/>
  <c r="F36" i="6" s="1"/>
  <c r="G36" i="6" s="1"/>
  <c r="H36" i="6" s="1"/>
  <c r="C36" i="6"/>
  <c r="J36" i="6" s="1"/>
  <c r="J35" i="6"/>
  <c r="D35" i="6"/>
  <c r="F35" i="6" s="1"/>
  <c r="G35" i="6" s="1"/>
  <c r="H35" i="6" s="1"/>
  <c r="C35" i="6"/>
  <c r="F34" i="6"/>
  <c r="G34" i="6" s="1"/>
  <c r="H34" i="6" s="1"/>
  <c r="D34" i="6"/>
  <c r="C34" i="6"/>
  <c r="J34" i="6" s="1"/>
  <c r="J33" i="6"/>
  <c r="D33" i="6"/>
  <c r="F33" i="6" s="1"/>
  <c r="G33" i="6" s="1"/>
  <c r="H33" i="6" s="1"/>
  <c r="C33" i="6"/>
  <c r="J32" i="6"/>
  <c r="F32" i="6"/>
  <c r="G32" i="6" s="1"/>
  <c r="H32" i="6" s="1"/>
  <c r="D32" i="6"/>
  <c r="C32" i="6"/>
  <c r="D31" i="6"/>
  <c r="F31" i="6" s="1"/>
  <c r="G31" i="6" s="1"/>
  <c r="H31" i="6" s="1"/>
  <c r="K31" i="6" s="1"/>
  <c r="C31" i="6"/>
  <c r="J31" i="6" s="1"/>
  <c r="J30" i="6"/>
  <c r="F30" i="6"/>
  <c r="G30" i="6" s="1"/>
  <c r="H30" i="6" s="1"/>
  <c r="D30" i="6"/>
  <c r="C30" i="6"/>
  <c r="F29" i="6"/>
  <c r="G29" i="6" s="1"/>
  <c r="H29" i="6" s="1"/>
  <c r="D29" i="6"/>
  <c r="C29" i="6"/>
  <c r="J29" i="6" s="1"/>
  <c r="J28" i="6"/>
  <c r="D28" i="6"/>
  <c r="F28" i="6" s="1"/>
  <c r="G28" i="6" s="1"/>
  <c r="H28" i="6" s="1"/>
  <c r="C28" i="6"/>
  <c r="F27" i="6"/>
  <c r="G27" i="6" s="1"/>
  <c r="H27" i="6" s="1"/>
  <c r="D27" i="6"/>
  <c r="C27" i="6"/>
  <c r="J27" i="6" s="1"/>
  <c r="J26" i="6"/>
  <c r="D26" i="6"/>
  <c r="F26" i="6" s="1"/>
  <c r="G26" i="6" s="1"/>
  <c r="H26" i="6" s="1"/>
  <c r="C26" i="6"/>
  <c r="D25" i="6"/>
  <c r="F25" i="6" s="1"/>
  <c r="G25" i="6" s="1"/>
  <c r="H25" i="6" s="1"/>
  <c r="C25" i="6"/>
  <c r="J25" i="6" s="1"/>
  <c r="F24" i="6"/>
  <c r="G24" i="6" s="1"/>
  <c r="H24" i="6" s="1"/>
  <c r="D24" i="6"/>
  <c r="C24" i="6"/>
  <c r="J24" i="6" s="1"/>
  <c r="J23" i="6"/>
  <c r="F23" i="6"/>
  <c r="G23" i="6" s="1"/>
  <c r="H23" i="6" s="1"/>
  <c r="D23" i="6"/>
  <c r="C23" i="6"/>
  <c r="F22" i="6"/>
  <c r="G22" i="6" s="1"/>
  <c r="H22" i="6" s="1"/>
  <c r="D22" i="6"/>
  <c r="C22" i="6"/>
  <c r="J22" i="6" s="1"/>
  <c r="J21" i="6"/>
  <c r="D21" i="6"/>
  <c r="F21" i="6" s="1"/>
  <c r="G21" i="6" s="1"/>
  <c r="H21" i="6" s="1"/>
  <c r="C21" i="6"/>
  <c r="H20" i="6"/>
  <c r="K20" i="6" s="1"/>
  <c r="F20" i="6"/>
  <c r="G20" i="6" s="1"/>
  <c r="D20" i="6"/>
  <c r="C20" i="6"/>
  <c r="J20" i="6" s="1"/>
  <c r="J19" i="6"/>
  <c r="D19" i="6"/>
  <c r="F19" i="6" s="1"/>
  <c r="G19" i="6" s="1"/>
  <c r="H19" i="6" s="1"/>
  <c r="C19" i="6"/>
  <c r="J18" i="6"/>
  <c r="D18" i="6"/>
  <c r="F18" i="6" s="1"/>
  <c r="G18" i="6" s="1"/>
  <c r="H18" i="6" s="1"/>
  <c r="C18" i="6"/>
  <c r="F17" i="6"/>
  <c r="G17" i="6" s="1"/>
  <c r="H17" i="6" s="1"/>
  <c r="D17" i="6"/>
  <c r="C17" i="6"/>
  <c r="J17" i="6" s="1"/>
  <c r="J16" i="6"/>
  <c r="D16" i="6"/>
  <c r="F16" i="6" s="1"/>
  <c r="G16" i="6" s="1"/>
  <c r="H16" i="6" s="1"/>
  <c r="C16" i="6"/>
  <c r="C89" i="2"/>
  <c r="C88" i="2"/>
  <c r="C87" i="2"/>
  <c r="C86" i="2"/>
  <c r="C85" i="2"/>
  <c r="C75" i="2"/>
  <c r="C73" i="2"/>
  <c r="C72" i="2"/>
  <c r="C70" i="2"/>
  <c r="D55" i="2"/>
  <c r="D63" i="2" s="1"/>
  <c r="C44" i="2"/>
  <c r="C74" i="2" s="1"/>
  <c r="C29" i="2"/>
  <c r="C28" i="2"/>
  <c r="I28" i="10" l="1"/>
  <c r="L28" i="10" s="1"/>
  <c r="G16" i="5"/>
  <c r="C13" i="5"/>
  <c r="F13" i="5" s="1"/>
  <c r="G13" i="5" s="1"/>
  <c r="C12" i="5"/>
  <c r="F12" i="5" s="1"/>
  <c r="G12" i="5" s="1"/>
  <c r="D86" i="16"/>
  <c r="D134" i="16"/>
  <c r="D97" i="16"/>
  <c r="D98" i="16" s="1"/>
  <c r="D105" i="16" s="1"/>
  <c r="D88" i="16"/>
  <c r="D85" i="16"/>
  <c r="D87" i="16"/>
  <c r="D90" i="16"/>
  <c r="D89" i="16"/>
  <c r="D91" i="17"/>
  <c r="D104" i="17" s="1"/>
  <c r="D106" i="17" s="1"/>
  <c r="D136" i="17" s="1"/>
  <c r="D72" i="2"/>
  <c r="M29" i="8"/>
  <c r="I32" i="10"/>
  <c r="L32" i="10" s="1"/>
  <c r="K32" i="10"/>
  <c r="M32" i="10" s="1"/>
  <c r="K19" i="10"/>
  <c r="M19" i="10" s="1"/>
  <c r="K20" i="10"/>
  <c r="M20" i="10" s="1"/>
  <c r="I33" i="9"/>
  <c r="L33" i="9" s="1"/>
  <c r="K33" i="9"/>
  <c r="M33" i="9" s="1"/>
  <c r="I34" i="9"/>
  <c r="L34" i="9" s="1"/>
  <c r="K34" i="9"/>
  <c r="K36" i="9"/>
  <c r="M36" i="9" s="1"/>
  <c r="I40" i="9"/>
  <c r="L40" i="9" s="1"/>
  <c r="M40" i="9" s="1"/>
  <c r="I33" i="8"/>
  <c r="L33" i="8" s="1"/>
  <c r="K33" i="8"/>
  <c r="M33" i="8" s="1"/>
  <c r="K28" i="8"/>
  <c r="I28" i="8"/>
  <c r="L28" i="8" s="1"/>
  <c r="I30" i="8"/>
  <c r="L30" i="8" s="1"/>
  <c r="M30" i="8" s="1"/>
  <c r="K18" i="8"/>
  <c r="M18" i="8" s="1"/>
  <c r="K43" i="7"/>
  <c r="M43" i="7" s="1"/>
  <c r="I43" i="7"/>
  <c r="L43" i="7" s="1"/>
  <c r="I41" i="7"/>
  <c r="L41" i="7" s="1"/>
  <c r="K41" i="7"/>
  <c r="I37" i="7"/>
  <c r="L37" i="7" s="1"/>
  <c r="K37" i="7"/>
  <c r="M37" i="7" s="1"/>
  <c r="K27" i="7"/>
  <c r="I27" i="7"/>
  <c r="L27" i="7" s="1"/>
  <c r="K26" i="7"/>
  <c r="M26" i="7" s="1"/>
  <c r="I32" i="6"/>
  <c r="L32" i="6" s="1"/>
  <c r="K32" i="6"/>
  <c r="M32" i="6" s="1"/>
  <c r="K29" i="6"/>
  <c r="I29" i="6"/>
  <c r="L29" i="6" s="1"/>
  <c r="I20" i="6"/>
  <c r="L20" i="6" s="1"/>
  <c r="M20" i="6" s="1"/>
  <c r="D75" i="2"/>
  <c r="D29" i="2"/>
  <c r="K26" i="6"/>
  <c r="I26" i="6"/>
  <c r="L26" i="6" s="1"/>
  <c r="I18" i="6"/>
  <c r="L18" i="6" s="1"/>
  <c r="K18" i="6"/>
  <c r="I18" i="7"/>
  <c r="L18" i="7" s="1"/>
  <c r="K18" i="7"/>
  <c r="I25" i="6"/>
  <c r="L25" i="6" s="1"/>
  <c r="K25" i="6"/>
  <c r="I35" i="6"/>
  <c r="L35" i="6" s="1"/>
  <c r="K35" i="6"/>
  <c r="I36" i="7"/>
  <c r="L36" i="7" s="1"/>
  <c r="K36" i="7"/>
  <c r="I39" i="7"/>
  <c r="L39" i="7" s="1"/>
  <c r="K39" i="7"/>
  <c r="I22" i="9"/>
  <c r="L22" i="9" s="1"/>
  <c r="K22" i="9"/>
  <c r="K22" i="7"/>
  <c r="I22" i="7"/>
  <c r="L22" i="7" s="1"/>
  <c r="I32" i="8"/>
  <c r="L32" i="8" s="1"/>
  <c r="K32" i="8"/>
  <c r="I18" i="9"/>
  <c r="L18" i="9" s="1"/>
  <c r="K18" i="9"/>
  <c r="M18" i="9" s="1"/>
  <c r="K19" i="7"/>
  <c r="I19" i="7"/>
  <c r="L19" i="7" s="1"/>
  <c r="K38" i="8"/>
  <c r="I38" i="8"/>
  <c r="L38" i="8" s="1"/>
  <c r="K19" i="6"/>
  <c r="I19" i="6"/>
  <c r="L19" i="6" s="1"/>
  <c r="K24" i="8"/>
  <c r="I24" i="8"/>
  <c r="L24" i="8" s="1"/>
  <c r="K31" i="9"/>
  <c r="I31" i="9"/>
  <c r="L31" i="9" s="1"/>
  <c r="K16" i="6"/>
  <c r="I16" i="6"/>
  <c r="L16" i="6" s="1"/>
  <c r="K40" i="7"/>
  <c r="I40" i="7"/>
  <c r="L40" i="7" s="1"/>
  <c r="I23" i="6"/>
  <c r="L23" i="6" s="1"/>
  <c r="K23" i="6"/>
  <c r="M23" i="6" s="1"/>
  <c r="K27" i="6"/>
  <c r="I27" i="6"/>
  <c r="L27" i="6" s="1"/>
  <c r="K33" i="6"/>
  <c r="M33" i="6" s="1"/>
  <c r="I33" i="6"/>
  <c r="L33" i="6" s="1"/>
  <c r="K34" i="7"/>
  <c r="I34" i="7"/>
  <c r="L34" i="7" s="1"/>
  <c r="K22" i="8"/>
  <c r="I22" i="8"/>
  <c r="L22" i="8" s="1"/>
  <c r="I39" i="8"/>
  <c r="L39" i="8" s="1"/>
  <c r="K39" i="8"/>
  <c r="K20" i="9"/>
  <c r="I20" i="9"/>
  <c r="L20" i="9" s="1"/>
  <c r="I18" i="10"/>
  <c r="L18" i="10" s="1"/>
  <c r="K18" i="10"/>
  <c r="I36" i="6"/>
  <c r="L36" i="6" s="1"/>
  <c r="K36" i="6"/>
  <c r="M36" i="6" s="1"/>
  <c r="I30" i="6"/>
  <c r="L30" i="6" s="1"/>
  <c r="K30" i="6"/>
  <c r="M30" i="6" s="1"/>
  <c r="K30" i="7"/>
  <c r="I30" i="7"/>
  <c r="L30" i="7" s="1"/>
  <c r="K24" i="7"/>
  <c r="I24" i="7"/>
  <c r="L24" i="7" s="1"/>
  <c r="I19" i="8"/>
  <c r="L19" i="8" s="1"/>
  <c r="K19" i="8"/>
  <c r="M19" i="8" s="1"/>
  <c r="K36" i="8"/>
  <c r="I36" i="8"/>
  <c r="L36" i="8" s="1"/>
  <c r="K28" i="6"/>
  <c r="I28" i="6"/>
  <c r="L28" i="6" s="1"/>
  <c r="K31" i="7"/>
  <c r="I31" i="7"/>
  <c r="L31" i="7" s="1"/>
  <c r="I23" i="9"/>
  <c r="L23" i="9" s="1"/>
  <c r="K23" i="9"/>
  <c r="M23" i="9" s="1"/>
  <c r="I22" i="6"/>
  <c r="L22" i="6" s="1"/>
  <c r="K22" i="6"/>
  <c r="I23" i="7"/>
  <c r="L23" i="7" s="1"/>
  <c r="K23" i="7"/>
  <c r="I19" i="9"/>
  <c r="L19" i="9" s="1"/>
  <c r="K19" i="9"/>
  <c r="I37" i="6"/>
  <c r="L37" i="6" s="1"/>
  <c r="K37" i="6"/>
  <c r="N16" i="7"/>
  <c r="N17" i="9"/>
  <c r="N16" i="10"/>
  <c r="N15" i="6"/>
  <c r="N16" i="8"/>
  <c r="I17" i="6"/>
  <c r="L17" i="6" s="1"/>
  <c r="K17" i="6"/>
  <c r="M17" i="6" s="1"/>
  <c r="K17" i="7"/>
  <c r="I17" i="7"/>
  <c r="L17" i="7" s="1"/>
  <c r="K26" i="8"/>
  <c r="I26" i="8"/>
  <c r="L26" i="8" s="1"/>
  <c r="I21" i="9"/>
  <c r="L21" i="9" s="1"/>
  <c r="K21" i="9"/>
  <c r="M21" i="9" s="1"/>
  <c r="I30" i="10"/>
  <c r="L30" i="10" s="1"/>
  <c r="K30" i="10"/>
  <c r="K24" i="6"/>
  <c r="I24" i="6"/>
  <c r="L24" i="6" s="1"/>
  <c r="K34" i="6"/>
  <c r="I34" i="6"/>
  <c r="L34" i="6" s="1"/>
  <c r="K21" i="7"/>
  <c r="I21" i="7"/>
  <c r="L21" i="7" s="1"/>
  <c r="K28" i="7"/>
  <c r="I28" i="7"/>
  <c r="L28" i="7" s="1"/>
  <c r="I37" i="9"/>
  <c r="L37" i="9" s="1"/>
  <c r="K37" i="9"/>
  <c r="K21" i="6"/>
  <c r="I21" i="6"/>
  <c r="L21" i="6" s="1"/>
  <c r="I27" i="8"/>
  <c r="L27" i="8" s="1"/>
  <c r="K27" i="8"/>
  <c r="M27" i="8" s="1"/>
  <c r="I20" i="7"/>
  <c r="L20" i="7" s="1"/>
  <c r="M20" i="7" s="1"/>
  <c r="I45" i="7"/>
  <c r="L45" i="7" s="1"/>
  <c r="M45" i="7" s="1"/>
  <c r="I20" i="8"/>
  <c r="L20" i="8" s="1"/>
  <c r="M20" i="8" s="1"/>
  <c r="I35" i="9"/>
  <c r="L35" i="9" s="1"/>
  <c r="K35" i="9"/>
  <c r="M35" i="9" s="1"/>
  <c r="K22" i="10"/>
  <c r="M22" i="10" s="1"/>
  <c r="I27" i="10"/>
  <c r="L27" i="10" s="1"/>
  <c r="M27" i="10" s="1"/>
  <c r="K17" i="8"/>
  <c r="I17" i="8"/>
  <c r="L17" i="8" s="1"/>
  <c r="K39" i="9"/>
  <c r="I39" i="9"/>
  <c r="L39" i="9" s="1"/>
  <c r="K17" i="10"/>
  <c r="I17" i="10"/>
  <c r="L17" i="10" s="1"/>
  <c r="D70" i="2"/>
  <c r="I33" i="7"/>
  <c r="L33" i="7" s="1"/>
  <c r="M33" i="7" s="1"/>
  <c r="K42" i="7"/>
  <c r="M42" i="7" s="1"/>
  <c r="K31" i="8"/>
  <c r="I31" i="8"/>
  <c r="L31" i="8" s="1"/>
  <c r="K34" i="8"/>
  <c r="M34" i="8" s="1"/>
  <c r="I41" i="8"/>
  <c r="L41" i="8" s="1"/>
  <c r="M41" i="8" s="1"/>
  <c r="I25" i="10"/>
  <c r="L25" i="10" s="1"/>
  <c r="M25" i="10" s="1"/>
  <c r="F12" i="3"/>
  <c r="F13" i="3" s="1"/>
  <c r="I25" i="7"/>
  <c r="L25" i="7" s="1"/>
  <c r="M25" i="7" s="1"/>
  <c r="I29" i="9"/>
  <c r="L29" i="9" s="1"/>
  <c r="M29" i="9" s="1"/>
  <c r="K33" i="10"/>
  <c r="M33" i="10" s="1"/>
  <c r="K28" i="9"/>
  <c r="I28" i="9"/>
  <c r="L28" i="9" s="1"/>
  <c r="B6" i="4"/>
  <c r="I44" i="7"/>
  <c r="L44" i="7" s="1"/>
  <c r="M44" i="7" s="1"/>
  <c r="K21" i="8"/>
  <c r="I21" i="8"/>
  <c r="L21" i="8" s="1"/>
  <c r="K27" i="9"/>
  <c r="I27" i="9"/>
  <c r="L27" i="9" s="1"/>
  <c r="I31" i="10"/>
  <c r="L31" i="10" s="1"/>
  <c r="K31" i="10"/>
  <c r="K36" i="10"/>
  <c r="I36" i="10"/>
  <c r="L36" i="10" s="1"/>
  <c r="I24" i="9"/>
  <c r="L24" i="9" s="1"/>
  <c r="M24" i="9" s="1"/>
  <c r="K46" i="7"/>
  <c r="I46" i="7"/>
  <c r="L46" i="7" s="1"/>
  <c r="I43" i="8"/>
  <c r="L43" i="8" s="1"/>
  <c r="M43" i="8" s="1"/>
  <c r="I25" i="9"/>
  <c r="L25" i="9" s="1"/>
  <c r="M25" i="9" s="1"/>
  <c r="I23" i="10"/>
  <c r="L23" i="10" s="1"/>
  <c r="K23" i="10"/>
  <c r="M28" i="10"/>
  <c r="I26" i="9"/>
  <c r="L26" i="9" s="1"/>
  <c r="K26" i="9"/>
  <c r="I37" i="8"/>
  <c r="L37" i="8" s="1"/>
  <c r="M37" i="8" s="1"/>
  <c r="I35" i="7"/>
  <c r="L35" i="7" s="1"/>
  <c r="M35" i="7" s="1"/>
  <c r="K40" i="8"/>
  <c r="I40" i="8"/>
  <c r="L40" i="8" s="1"/>
  <c r="I31" i="6"/>
  <c r="L31" i="6" s="1"/>
  <c r="M31" i="6" s="1"/>
  <c r="D28" i="2"/>
  <c r="D73" i="2"/>
  <c r="D74" i="2" s="1"/>
  <c r="I32" i="7"/>
  <c r="L32" i="7" s="1"/>
  <c r="M32" i="7" s="1"/>
  <c r="K38" i="7"/>
  <c r="M38" i="7" s="1"/>
  <c r="I23" i="8"/>
  <c r="L23" i="8" s="1"/>
  <c r="M23" i="8" s="1"/>
  <c r="I32" i="9"/>
  <c r="L32" i="9" s="1"/>
  <c r="M32" i="9" s="1"/>
  <c r="M22" i="9"/>
  <c r="K30" i="9"/>
  <c r="I30" i="9"/>
  <c r="L30" i="9" s="1"/>
  <c r="K29" i="10"/>
  <c r="M29" i="10" s="1"/>
  <c r="I29" i="10"/>
  <c r="L29" i="10" s="1"/>
  <c r="K25" i="8"/>
  <c r="I25" i="8"/>
  <c r="L25" i="8" s="1"/>
  <c r="D133" i="2"/>
  <c r="I29" i="7"/>
  <c r="L29" i="7" s="1"/>
  <c r="M29" i="7" s="1"/>
  <c r="I35" i="8"/>
  <c r="L35" i="8" s="1"/>
  <c r="M35" i="8" s="1"/>
  <c r="I42" i="8"/>
  <c r="L42" i="8" s="1"/>
  <c r="M42" i="8" s="1"/>
  <c r="K34" i="10"/>
  <c r="M34" i="10" s="1"/>
  <c r="I24" i="10"/>
  <c r="L24" i="10" s="1"/>
  <c r="M24" i="10" s="1"/>
  <c r="I21" i="10"/>
  <c r="L21" i="10" s="1"/>
  <c r="M21" i="10" s="1"/>
  <c r="I38" i="9"/>
  <c r="L38" i="9" s="1"/>
  <c r="M38" i="9" s="1"/>
  <c r="M26" i="10"/>
  <c r="I35" i="10"/>
  <c r="L35" i="10" s="1"/>
  <c r="M35" i="10" s="1"/>
  <c r="M31" i="9" l="1"/>
  <c r="N31" i="9" s="1"/>
  <c r="O31" i="9" s="1"/>
  <c r="Q31" i="9" s="1"/>
  <c r="M38" i="8"/>
  <c r="N38" i="8" s="1"/>
  <c r="O38" i="8" s="1"/>
  <c r="Q38" i="8" s="1"/>
  <c r="M34" i="9"/>
  <c r="N34" i="9" s="1"/>
  <c r="O34" i="9" s="1"/>
  <c r="Q34" i="9" s="1"/>
  <c r="M17" i="10"/>
  <c r="N17" i="10" s="1"/>
  <c r="O17" i="10" s="1"/>
  <c r="Q17" i="10" s="1"/>
  <c r="M30" i="7"/>
  <c r="N30" i="7" s="1"/>
  <c r="O30" i="7" s="1"/>
  <c r="Q30" i="7" s="1"/>
  <c r="M40" i="8"/>
  <c r="N40" i="8" s="1"/>
  <c r="O40" i="8" s="1"/>
  <c r="Q40" i="8" s="1"/>
  <c r="M27" i="9"/>
  <c r="N27" i="9" s="1"/>
  <c r="O27" i="9" s="1"/>
  <c r="Q27" i="9" s="1"/>
  <c r="M27" i="7"/>
  <c r="N27" i="7" s="1"/>
  <c r="O27" i="7" s="1"/>
  <c r="Q27" i="7" s="1"/>
  <c r="M31" i="8"/>
  <c r="N31" i="8" s="1"/>
  <c r="O31" i="8" s="1"/>
  <c r="Q31" i="8" s="1"/>
  <c r="M39" i="8"/>
  <c r="N39" i="8" s="1"/>
  <c r="O39" i="8" s="1"/>
  <c r="Q39" i="8" s="1"/>
  <c r="M36" i="8"/>
  <c r="N36" i="8" s="1"/>
  <c r="O36" i="8" s="1"/>
  <c r="Q36" i="8" s="1"/>
  <c r="M23" i="10"/>
  <c r="N23" i="10" s="1"/>
  <c r="O23" i="10" s="1"/>
  <c r="Q23" i="10" s="1"/>
  <c r="M31" i="10"/>
  <c r="N31" i="10" s="1"/>
  <c r="O31" i="10" s="1"/>
  <c r="Q31" i="10" s="1"/>
  <c r="D114" i="16"/>
  <c r="D115" i="16" s="1"/>
  <c r="D137" i="16" s="1"/>
  <c r="D114" i="17"/>
  <c r="D115" i="17" s="1"/>
  <c r="D137" i="17" s="1"/>
  <c r="D138" i="17" s="1"/>
  <c r="D121" i="17" s="1"/>
  <c r="D114" i="2"/>
  <c r="D115" i="2" s="1"/>
  <c r="D137" i="2" s="1"/>
  <c r="D91" i="16"/>
  <c r="D104" i="16" s="1"/>
  <c r="D106" i="16" s="1"/>
  <c r="D136" i="16" s="1"/>
  <c r="E6" i="4"/>
  <c r="G6" i="4" s="1"/>
  <c r="G7" i="4" s="1"/>
  <c r="F6" i="4"/>
  <c r="N18" i="8"/>
  <c r="O18" i="8" s="1"/>
  <c r="Q18" i="8" s="1"/>
  <c r="M28" i="8"/>
  <c r="N28" i="8" s="1"/>
  <c r="O28" i="8" s="1"/>
  <c r="Q28" i="8" s="1"/>
  <c r="M25" i="8"/>
  <c r="N25" i="8" s="1"/>
  <c r="O25" i="8" s="1"/>
  <c r="Q25" i="8" s="1"/>
  <c r="M24" i="8"/>
  <c r="N24" i="8" s="1"/>
  <c r="O24" i="8" s="1"/>
  <c r="Q24" i="8" s="1"/>
  <c r="M37" i="9"/>
  <c r="N37" i="9" s="1"/>
  <c r="O37" i="9" s="1"/>
  <c r="Q37" i="9" s="1"/>
  <c r="M26" i="9"/>
  <c r="N26" i="9" s="1"/>
  <c r="O26" i="9" s="1"/>
  <c r="Q26" i="9" s="1"/>
  <c r="M19" i="9"/>
  <c r="N19" i="9" s="1"/>
  <c r="O19" i="9" s="1"/>
  <c r="Q19" i="9" s="1"/>
  <c r="M30" i="10"/>
  <c r="N30" i="10" s="1"/>
  <c r="O30" i="10" s="1"/>
  <c r="Q30" i="10" s="1"/>
  <c r="N19" i="10"/>
  <c r="O19" i="10" s="1"/>
  <c r="Q19" i="10" s="1"/>
  <c r="M28" i="9"/>
  <c r="N28" i="9" s="1"/>
  <c r="O28" i="9" s="1"/>
  <c r="Q28" i="9" s="1"/>
  <c r="N33" i="9"/>
  <c r="O33" i="9" s="1"/>
  <c r="Q33" i="9" s="1"/>
  <c r="M30" i="9"/>
  <c r="N30" i="9" s="1"/>
  <c r="O30" i="9" s="1"/>
  <c r="Q30" i="9" s="1"/>
  <c r="M20" i="9"/>
  <c r="N20" i="9" s="1"/>
  <c r="O20" i="9" s="1"/>
  <c r="Q20" i="9" s="1"/>
  <c r="M32" i="8"/>
  <c r="N32" i="8" s="1"/>
  <c r="O32" i="8" s="1"/>
  <c r="Q32" i="8" s="1"/>
  <c r="M21" i="8"/>
  <c r="N21" i="8" s="1"/>
  <c r="O21" i="8" s="1"/>
  <c r="Q21" i="8" s="1"/>
  <c r="M22" i="8"/>
  <c r="N22" i="8" s="1"/>
  <c r="O22" i="8" s="1"/>
  <c r="Q22" i="8" s="1"/>
  <c r="M26" i="8"/>
  <c r="N26" i="8" s="1"/>
  <c r="O26" i="8" s="1"/>
  <c r="Q26" i="8" s="1"/>
  <c r="M17" i="8"/>
  <c r="N17" i="8" s="1"/>
  <c r="O17" i="8" s="1"/>
  <c r="Q17" i="8" s="1"/>
  <c r="M19" i="7"/>
  <c r="N19" i="7" s="1"/>
  <c r="O19" i="7" s="1"/>
  <c r="Q19" i="7" s="1"/>
  <c r="M41" i="7"/>
  <c r="N41" i="7" s="1"/>
  <c r="O41" i="7" s="1"/>
  <c r="Q41" i="7" s="1"/>
  <c r="M23" i="7"/>
  <c r="N23" i="7" s="1"/>
  <c r="O23" i="7" s="1"/>
  <c r="Q23" i="7" s="1"/>
  <c r="M46" i="7"/>
  <c r="N46" i="7" s="1"/>
  <c r="O46" i="7" s="1"/>
  <c r="Q46" i="7" s="1"/>
  <c r="M39" i="7"/>
  <c r="N39" i="7" s="1"/>
  <c r="O39" i="7" s="1"/>
  <c r="Q39" i="7" s="1"/>
  <c r="M28" i="7"/>
  <c r="N28" i="7" s="1"/>
  <c r="O28" i="7" s="1"/>
  <c r="Q28" i="7" s="1"/>
  <c r="M31" i="7"/>
  <c r="N31" i="7" s="1"/>
  <c r="O31" i="7" s="1"/>
  <c r="Q31" i="7" s="1"/>
  <c r="M24" i="7"/>
  <c r="N24" i="7" s="1"/>
  <c r="O24" i="7" s="1"/>
  <c r="Q24" i="7" s="1"/>
  <c r="M22" i="7"/>
  <c r="N22" i="7" s="1"/>
  <c r="O22" i="7" s="1"/>
  <c r="Q22" i="7" s="1"/>
  <c r="M21" i="7"/>
  <c r="N21" i="7" s="1"/>
  <c r="O21" i="7" s="1"/>
  <c r="Q21" i="7" s="1"/>
  <c r="M26" i="6"/>
  <c r="N26" i="6" s="1"/>
  <c r="O26" i="6" s="1"/>
  <c r="Q26" i="6" s="1"/>
  <c r="M29" i="6"/>
  <c r="N29" i="6" s="1"/>
  <c r="O29" i="6" s="1"/>
  <c r="Q29" i="6" s="1"/>
  <c r="M25" i="6"/>
  <c r="N25" i="6" s="1"/>
  <c r="O25" i="6" s="1"/>
  <c r="Q25" i="6" s="1"/>
  <c r="M34" i="6"/>
  <c r="N34" i="6" s="1"/>
  <c r="O34" i="6" s="1"/>
  <c r="Q34" i="6" s="1"/>
  <c r="M28" i="6"/>
  <c r="N28" i="6" s="1"/>
  <c r="O28" i="6" s="1"/>
  <c r="Q28" i="6" s="1"/>
  <c r="M19" i="6"/>
  <c r="N19" i="6" s="1"/>
  <c r="O19" i="6" s="1"/>
  <c r="Q19" i="6" s="1"/>
  <c r="M35" i="6"/>
  <c r="N35" i="6" s="1"/>
  <c r="O35" i="6" s="1"/>
  <c r="Q35" i="6" s="1"/>
  <c r="M37" i="6"/>
  <c r="N37" i="6" s="1"/>
  <c r="O37" i="6" s="1"/>
  <c r="Q37" i="6" s="1"/>
  <c r="N20" i="6"/>
  <c r="O20" i="6" s="1"/>
  <c r="Q20" i="6" s="1"/>
  <c r="M24" i="6"/>
  <c r="N24" i="6" s="1"/>
  <c r="O24" i="6" s="1"/>
  <c r="Q24" i="6" s="1"/>
  <c r="M18" i="6"/>
  <c r="N18" i="6" s="1"/>
  <c r="O18" i="6" s="1"/>
  <c r="Q18" i="6" s="1"/>
  <c r="M21" i="6"/>
  <c r="N21" i="6" s="1"/>
  <c r="O21" i="6" s="1"/>
  <c r="Q21" i="6" s="1"/>
  <c r="M16" i="6"/>
  <c r="N16" i="6" s="1"/>
  <c r="O16" i="6" s="1"/>
  <c r="Q16" i="6" s="1"/>
  <c r="M22" i="6"/>
  <c r="N22" i="6" s="1"/>
  <c r="O22" i="6" s="1"/>
  <c r="Q22" i="6" s="1"/>
  <c r="N32" i="6"/>
  <c r="O32" i="6" s="1"/>
  <c r="Q32" i="6" s="1"/>
  <c r="N30" i="8"/>
  <c r="O30" i="8" s="1"/>
  <c r="Q30" i="8" s="1"/>
  <c r="N36" i="9"/>
  <c r="O36" i="9" s="1"/>
  <c r="Q36" i="9" s="1"/>
  <c r="N20" i="10"/>
  <c r="O20" i="10" s="1"/>
  <c r="Q20" i="10" s="1"/>
  <c r="D30" i="2"/>
  <c r="D41" i="2" s="1"/>
  <c r="N37" i="8"/>
  <c r="O37" i="8" s="1"/>
  <c r="Q37" i="8" s="1"/>
  <c r="N23" i="8"/>
  <c r="O23" i="8" s="1"/>
  <c r="Q23" i="8" s="1"/>
  <c r="N23" i="6"/>
  <c r="O23" i="6" s="1"/>
  <c r="Q23" i="6" s="1"/>
  <c r="N41" i="8"/>
  <c r="O41" i="8" s="1"/>
  <c r="Q41" i="8" s="1"/>
  <c r="N27" i="10"/>
  <c r="O27" i="10" s="1"/>
  <c r="Q27" i="10" s="1"/>
  <c r="N24" i="9"/>
  <c r="O24" i="9" s="1"/>
  <c r="Q24" i="9" s="1"/>
  <c r="N24" i="10"/>
  <c r="O24" i="10" s="1"/>
  <c r="Q24" i="10" s="1"/>
  <c r="N20" i="7"/>
  <c r="O20" i="7" s="1"/>
  <c r="Q20" i="7" s="1"/>
  <c r="N32" i="7"/>
  <c r="O32" i="7" s="1"/>
  <c r="Q32" i="7" s="1"/>
  <c r="N34" i="10"/>
  <c r="O34" i="10" s="1"/>
  <c r="Q34" i="10" s="1"/>
  <c r="N33" i="10"/>
  <c r="O33" i="10" s="1"/>
  <c r="Q33" i="10" s="1"/>
  <c r="N27" i="8"/>
  <c r="O27" i="8" s="1"/>
  <c r="Q27" i="8" s="1"/>
  <c r="N42" i="8"/>
  <c r="O42" i="8" s="1"/>
  <c r="Q42" i="8" s="1"/>
  <c r="N35" i="10"/>
  <c r="O35" i="10" s="1"/>
  <c r="Q35" i="10" s="1"/>
  <c r="N38" i="9"/>
  <c r="O38" i="9" s="1"/>
  <c r="Q38" i="9" s="1"/>
  <c r="N35" i="7"/>
  <c r="O35" i="7" s="1"/>
  <c r="Q35" i="7" s="1"/>
  <c r="N44" i="7"/>
  <c r="O44" i="7" s="1"/>
  <c r="Q44" i="7" s="1"/>
  <c r="N35" i="9"/>
  <c r="O35" i="9" s="1"/>
  <c r="Q35" i="9" s="1"/>
  <c r="N21" i="10"/>
  <c r="O21" i="10" s="1"/>
  <c r="Q21" i="10" s="1"/>
  <c r="N45" i="7"/>
  <c r="O45" i="7" s="1"/>
  <c r="Q45" i="7" s="1"/>
  <c r="N35" i="8"/>
  <c r="O35" i="8" s="1"/>
  <c r="Q35" i="8" s="1"/>
  <c r="N29" i="8"/>
  <c r="O29" i="8" s="1"/>
  <c r="Q29" i="8" s="1"/>
  <c r="N38" i="7"/>
  <c r="O38" i="7" s="1"/>
  <c r="Q38" i="7" s="1"/>
  <c r="N29" i="10"/>
  <c r="O29" i="10" s="1"/>
  <c r="Q29" i="10" s="1"/>
  <c r="N36" i="6"/>
  <c r="O36" i="6" s="1"/>
  <c r="Q36" i="6" s="1"/>
  <c r="N22" i="9"/>
  <c r="O22" i="9" s="1"/>
  <c r="Q22" i="9" s="1"/>
  <c r="N31" i="6"/>
  <c r="O31" i="6" s="1"/>
  <c r="Q31" i="6" s="1"/>
  <c r="N33" i="7"/>
  <c r="O33" i="7" s="1"/>
  <c r="Q33" i="7" s="1"/>
  <c r="N28" i="10"/>
  <c r="O28" i="10" s="1"/>
  <c r="Q28" i="10" s="1"/>
  <c r="N25" i="7"/>
  <c r="O25" i="7" s="1"/>
  <c r="Q25" i="7" s="1"/>
  <c r="N17" i="6"/>
  <c r="O17" i="6" s="1"/>
  <c r="Q17" i="6" s="1"/>
  <c r="M34" i="7"/>
  <c r="N37" i="7"/>
  <c r="O37" i="7" s="1"/>
  <c r="Q37" i="7" s="1"/>
  <c r="N34" i="8"/>
  <c r="O34" i="8" s="1"/>
  <c r="Q34" i="8" s="1"/>
  <c r="M18" i="10"/>
  <c r="M40" i="7"/>
  <c r="M36" i="7"/>
  <c r="M18" i="7"/>
  <c r="N43" i="7"/>
  <c r="O43" i="7" s="1"/>
  <c r="Q43" i="7" s="1"/>
  <c r="N43" i="8"/>
  <c r="O43" i="8" s="1"/>
  <c r="Q43" i="8" s="1"/>
  <c r="N42" i="7"/>
  <c r="O42" i="7" s="1"/>
  <c r="Q42" i="7" s="1"/>
  <c r="N22" i="10"/>
  <c r="O22" i="10" s="1"/>
  <c r="Q22" i="10" s="1"/>
  <c r="N19" i="8"/>
  <c r="O19" i="8" s="1"/>
  <c r="Q19" i="8" s="1"/>
  <c r="N26" i="10"/>
  <c r="O26" i="10" s="1"/>
  <c r="Q26" i="10" s="1"/>
  <c r="N23" i="9"/>
  <c r="O23" i="9" s="1"/>
  <c r="Q23" i="9" s="1"/>
  <c r="N33" i="6"/>
  <c r="O33" i="6" s="1"/>
  <c r="Q33" i="6" s="1"/>
  <c r="N21" i="9"/>
  <c r="O21" i="9" s="1"/>
  <c r="Q21" i="9" s="1"/>
  <c r="N33" i="8"/>
  <c r="O33" i="8" s="1"/>
  <c r="Q33" i="8" s="1"/>
  <c r="N20" i="8"/>
  <c r="O20" i="8" s="1"/>
  <c r="Q20" i="8" s="1"/>
  <c r="N40" i="9"/>
  <c r="O40" i="9" s="1"/>
  <c r="Q40" i="9" s="1"/>
  <c r="M36" i="10"/>
  <c r="N32" i="10"/>
  <c r="O32" i="10" s="1"/>
  <c r="Q32" i="10" s="1"/>
  <c r="N25" i="10"/>
  <c r="O25" i="10" s="1"/>
  <c r="Q25" i="10" s="1"/>
  <c r="N25" i="9"/>
  <c r="O25" i="9" s="1"/>
  <c r="Q25" i="9" s="1"/>
  <c r="M17" i="7"/>
  <c r="N30" i="6"/>
  <c r="O30" i="6" s="1"/>
  <c r="Q30" i="6" s="1"/>
  <c r="N26" i="7"/>
  <c r="O26" i="7" s="1"/>
  <c r="Q26" i="7" s="1"/>
  <c r="N32" i="9"/>
  <c r="O32" i="9" s="1"/>
  <c r="Q32" i="9" s="1"/>
  <c r="H6" i="4"/>
  <c r="H7" i="4" s="1"/>
  <c r="M39" i="9"/>
  <c r="M27" i="6"/>
  <c r="N18" i="9"/>
  <c r="O18" i="9" s="1"/>
  <c r="Q18" i="9" s="1"/>
  <c r="N29" i="9"/>
  <c r="O29" i="9" s="1"/>
  <c r="Q29" i="9" s="1"/>
  <c r="N29" i="7"/>
  <c r="O29" i="7" s="1"/>
  <c r="Q29" i="7" s="1"/>
  <c r="D71" i="2"/>
  <c r="D76" i="2" s="1"/>
  <c r="D135" i="2" s="1"/>
  <c r="D138" i="16" l="1"/>
  <c r="D121" i="16" s="1"/>
  <c r="D122" i="16" s="1"/>
  <c r="D123" i="16" s="1"/>
  <c r="D127" i="16" s="1"/>
  <c r="D139" i="16" s="1"/>
  <c r="D140" i="16" s="1"/>
  <c r="C10" i="5" s="1"/>
  <c r="E10" i="5" s="1"/>
  <c r="F10" i="5" s="1"/>
  <c r="G10" i="5" s="1"/>
  <c r="D61" i="2"/>
  <c r="D122" i="17"/>
  <c r="D123" i="17" s="1"/>
  <c r="G8" i="4"/>
  <c r="G9" i="4" s="1"/>
  <c r="F15" i="5" s="1"/>
  <c r="G15" i="5" s="1"/>
  <c r="D42" i="2"/>
  <c r="D43" i="2"/>
  <c r="D36" i="2"/>
  <c r="D38" i="2"/>
  <c r="D40" i="2"/>
  <c r="D37" i="2"/>
  <c r="D39" i="2"/>
  <c r="Q44" i="8"/>
  <c r="Q45" i="8" s="1"/>
  <c r="B7" i="11" s="1"/>
  <c r="N34" i="7"/>
  <c r="O34" i="7" s="1"/>
  <c r="Q34" i="7" s="1"/>
  <c r="N27" i="6"/>
  <c r="O27" i="6" s="1"/>
  <c r="Q27" i="6" s="1"/>
  <c r="Q38" i="6" s="1"/>
  <c r="Q39" i="6" s="1"/>
  <c r="B5" i="11" s="1"/>
  <c r="N36" i="10"/>
  <c r="O36" i="10" s="1"/>
  <c r="Q36" i="10" s="1"/>
  <c r="N18" i="7"/>
  <c r="O18" i="7" s="1"/>
  <c r="Q18" i="7" s="1"/>
  <c r="N17" i="7"/>
  <c r="O17" i="7" s="1"/>
  <c r="Q17" i="7" s="1"/>
  <c r="N36" i="7"/>
  <c r="O36" i="7" s="1"/>
  <c r="Q36" i="7" s="1"/>
  <c r="N40" i="7"/>
  <c r="O40" i="7" s="1"/>
  <c r="Q40" i="7" s="1"/>
  <c r="N39" i="9"/>
  <c r="O39" i="9" s="1"/>
  <c r="Q39" i="9" s="1"/>
  <c r="Q41" i="9" s="1"/>
  <c r="Q42" i="9" s="1"/>
  <c r="B8" i="11" s="1"/>
  <c r="N18" i="10"/>
  <c r="O18" i="10" s="1"/>
  <c r="Q18" i="10" s="1"/>
  <c r="D125" i="16" l="1"/>
  <c r="D126" i="16"/>
  <c r="D124" i="16"/>
  <c r="D127" i="17"/>
  <c r="D139" i="17" s="1"/>
  <c r="D140" i="17" s="1"/>
  <c r="C11" i="5" s="1"/>
  <c r="E11" i="5" s="1"/>
  <c r="D44" i="2"/>
  <c r="D62" i="2" s="1"/>
  <c r="D64" i="2" s="1"/>
  <c r="D89" i="2" s="1"/>
  <c r="Q37" i="10"/>
  <c r="Q38" i="10" s="1"/>
  <c r="B9" i="11" s="1"/>
  <c r="Q47" i="7"/>
  <c r="Q48" i="7" s="1"/>
  <c r="B6" i="11" s="1"/>
  <c r="F11" i="5" l="1"/>
  <c r="G11" i="5" s="1"/>
  <c r="D124" i="17"/>
  <c r="D126" i="17"/>
  <c r="D125" i="17"/>
  <c r="B10" i="11"/>
  <c r="B11" i="11" s="1"/>
  <c r="D86" i="2"/>
  <c r="D97" i="2"/>
  <c r="D98" i="2" s="1"/>
  <c r="D105" i="2" s="1"/>
  <c r="D87" i="2"/>
  <c r="D85" i="2"/>
  <c r="D88" i="2"/>
  <c r="D90" i="2"/>
  <c r="D134" i="2"/>
  <c r="C14" i="5" l="1"/>
  <c r="D91" i="2"/>
  <c r="D104" i="2" s="1"/>
  <c r="D106" i="2" s="1"/>
  <c r="D136" i="2" s="1"/>
  <c r="D138" i="2" s="1"/>
  <c r="F14" i="5" l="1"/>
  <c r="G14" i="5" s="1"/>
  <c r="D121" i="2"/>
  <c r="D122" i="2" s="1"/>
  <c r="D123" i="2" l="1"/>
  <c r="D127" i="2" s="1"/>
  <c r="D139" i="2" s="1"/>
  <c r="D140" i="2" s="1"/>
  <c r="D126" i="2" l="1"/>
  <c r="D124" i="2"/>
  <c r="D125" i="2"/>
  <c r="C9" i="5"/>
  <c r="E9" i="5" l="1"/>
  <c r="E17" i="5" s="1"/>
  <c r="F9" i="5" l="1"/>
  <c r="F17" i="5" s="1"/>
  <c r="G9" i="5" l="1"/>
  <c r="G17" i="5" s="1"/>
</calcChain>
</file>

<file path=xl/sharedStrings.xml><?xml version="1.0" encoding="utf-8"?>
<sst xmlns="http://schemas.openxmlformats.org/spreadsheetml/2006/main" count="836" uniqueCount="224">
  <si>
    <t>DESLOCAMENTOS</t>
  </si>
  <si>
    <t>HORAS EXTRAS</t>
  </si>
  <si>
    <t>PLANILHA DE CUSTOS E FORMAÇÃO DE PREÇOS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</si>
  <si>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</si>
  <si>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</si>
  <si>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</si>
  <si>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</si>
  <si>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</si>
  <si>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</si>
  <si>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</si>
  <si>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</si>
  <si>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</si>
  <si>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</si>
  <si>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</si>
  <si>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</si>
  <si>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</si>
  <si>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</si>
  <si>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</si>
  <si>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</si>
  <si>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</si>
  <si>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</si>
  <si>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</si>
  <si>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</si>
  <si>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</si>
  <si>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</si>
  <si>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</si>
  <si>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</si>
  <si>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</si>
  <si>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</si>
  <si>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</si>
  <si>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</si>
  <si>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</si>
  <si>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</si>
  <si>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</si>
  <si>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</si>
  <si>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</si>
  <si>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</si>
  <si>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</si>
  <si>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</si>
  <si>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</si>
  <si>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</si>
  <si>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</si>
  <si>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</si>
  <si>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</si>
  <si>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</si>
  <si>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</si>
  <si>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</si>
  <si>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</si>
  <si>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</si>
  <si>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</si>
  <si>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Seguro de Vida</t>
  </si>
  <si>
    <t>Seguro Saúde</t>
  </si>
  <si>
    <t>Curso de Capacitação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</si>
  <si>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</si>
  <si>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</si>
  <si>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</si>
  <si>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</si>
  <si>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</si>
  <si>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</si>
  <si>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</si>
  <si>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</si>
  <si>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</si>
  <si>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</si>
  <si>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</si>
  <si>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</si>
  <si>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</si>
  <si>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</si>
  <si>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</si>
  <si>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</si>
  <si>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</si>
  <si>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</si>
  <si>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</si>
  <si>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Afastamento por Doença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</si>
  <si>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</si>
  <si>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</si>
  <si>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</si>
  <si>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</si>
  <si>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</si>
  <si>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</si>
  <si>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</si>
  <si>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</si>
  <si>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</si>
  <si>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 de Proteção Individual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</si>
  <si>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</si>
  <si>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</si>
  <si>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</si>
  <si>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</si>
  <si>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</si>
  <si>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</si>
  <si>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</si>
  <si>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</si>
  <si>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</si>
  <si>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</si>
  <si>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EQUIPAMENTOS DE PROTEÇÃO INDIVIDUAL</t>
  </si>
  <si>
    <t>Nº ITEM</t>
  </si>
  <si>
    <t>DESCRIÇÃO</t>
  </si>
  <si>
    <t>UNID.</t>
  </si>
  <si>
    <t>QTDE POR EMPREGADO</t>
  </si>
  <si>
    <t>CÓDIGO SINAPI</t>
  </si>
  <si>
    <t>VALOR</t>
  </si>
  <si>
    <t>LUVA RASPA DE COURO, CANO CURTO (PUNHO *7* CM)</t>
  </si>
  <si>
    <t>PAR</t>
  </si>
  <si>
    <t>CAPA PARA CHUVA EM PVC COM FORRO DE POLIESTER, COM CAPUZ (AMARELA OU AZUL)</t>
  </si>
  <si>
    <t>CAPACETE DE SEGURANCA ABA FRONTAL COM SUSPENSAO DE POLIETILENO, SEM JUGULAR (CLASSE B)</t>
  </si>
  <si>
    <t>PROTETOR AUDITIVO TIPO PLUG DE INSERCAO COM CORDAO, ATENUACAO SUPERIOR A 15 DB</t>
  </si>
  <si>
    <t>CINTURAO DE SEGURANCA TIPO PARAQUEDISTA, FIVELA EM ACO, AJUSTE NO SUSPENSARIO, CINTURA E PERNAS</t>
  </si>
  <si>
    <t>OCULOS DE SEGURANCA CONTRA IMPACTOS COM LENTE INCOLOR, ARMACAO NYLON, COM PROTECAO UVA E UVB</t>
  </si>
  <si>
    <t>VALOR TOTAL POR EMPREGADO</t>
  </si>
  <si>
    <r>
      <rPr>
        <sz val="10"/>
        <color rgb="FF000000"/>
        <rFont val="Times New Roman"/>
        <family val="1"/>
        <charset val="1"/>
      </rPr>
      <t> </t>
    </r>
    <r>
      <rPr>
        <b/>
        <sz val="10"/>
        <color rgb="FF000000"/>
        <rFont val="Times New Roman"/>
        <family val="1"/>
        <charset val="1"/>
      </rPr>
      <t>TOTAL  MENSAL POR EMPREGADO</t>
    </r>
  </si>
  <si>
    <t>POSTO</t>
  </si>
  <si>
    <t>REMUNERAÇÃO</t>
  </si>
  <si>
    <t>QTD.</t>
  </si>
  <si>
    <t>VALOR UNTÁRIO</t>
  </si>
  <si>
    <t>VALOR TOTAL</t>
  </si>
  <si>
    <t>Dias úteis e sábados</t>
  </si>
  <si>
    <t>Domingos e feriados</t>
  </si>
  <si>
    <t>ENGENHEIRO/ARQUITETO</t>
  </si>
  <si>
    <t>TOTAL MENSAL</t>
  </si>
  <si>
    <t>ITEM</t>
  </si>
  <si>
    <t>VALOR UNITÁRIO</t>
  </si>
  <si>
    <t>VALOR MENSAL</t>
  </si>
  <si>
    <t>CONSULTORIA (HORAS TÉCNICAS)</t>
  </si>
  <si>
    <t>SERVIÇOS EVENTUAIS (HORAS TÉCNICAS)</t>
  </si>
  <si>
    <t>VALOR TOTAL DO CONTRATO</t>
  </si>
  <si>
    <t>ESTIMATIVA DE VALOR DE DESLOCAMENTO PARA 01 PROFISSIONAL</t>
  </si>
  <si>
    <t>VIAGEM PARA 01 MUNICÍPIO</t>
  </si>
  <si>
    <t>PARÂMETROS</t>
  </si>
  <si>
    <t>Velocidade média da viagem em Km/hora</t>
  </si>
  <si>
    <t>Média de horas para vistoria por imóvel</t>
  </si>
  <si>
    <t>Valor da diária de locação de veículo em R$</t>
  </si>
  <si>
    <t xml:space="preserve">Distância percorrida dentro do município </t>
  </si>
  <si>
    <t>20Km</t>
  </si>
  <si>
    <t>Valor do litro da gasolina em R$</t>
  </si>
  <si>
    <t>Consumo de combustível (Km/litro)</t>
  </si>
  <si>
    <t>Valor da diária (pernoite+alimentação)</t>
  </si>
  <si>
    <t xml:space="preserve">DISTÂNCIA TOTAL PERCORRIDA (IDA E VOLTA) ATÉ (Km) _ </t>
  </si>
  <si>
    <t>MÉDIA DISTÂNCIA PERCORRIDA DENTRO DO MUNICÍPIO(km)</t>
  </si>
  <si>
    <t>CONSUMO DE COMBUSTÍVEL (10 km/ litro)</t>
  </si>
  <si>
    <r>
      <rPr>
        <sz val="8"/>
        <rFont val="Arial"/>
        <family val="2"/>
        <charset val="1"/>
      </rPr>
      <t xml:space="preserve">ESTIMATIVA DE TEMPO GASTO COM DESLOCAMENTO - </t>
    </r>
    <r>
      <rPr>
        <u/>
        <sz val="8"/>
        <rFont val="Arial"/>
        <family val="2"/>
        <charset val="1"/>
      </rPr>
      <t>80/Km/h</t>
    </r>
  </si>
  <si>
    <t>MÉDIA DE TEMPO GASTO COM 01 VISITA TÉCNICA(h)</t>
  </si>
  <si>
    <t>TOTAL DE HORAS ESTIMADAS PARA A VIAGEM</t>
  </si>
  <si>
    <t>CALCULO APROXIMADO DO NÚMERO DE DIÁRIAS DE LOCAÇÃO DO VEÍCULO</t>
  </si>
  <si>
    <t>NÚMERO DE DIÁRIAS DE LOCAÇÃO DO VEÍCULO</t>
  </si>
  <si>
    <t>NÚMERO DE DIÁRIAS DO PROFISSIONAL</t>
  </si>
  <si>
    <t>VALOR GASTO COM COMBUSTÍVEL</t>
  </si>
  <si>
    <t>VALOR DE ALUGUEL DE VEÍCULO</t>
  </si>
  <si>
    <r>
      <rPr>
        <sz val="8"/>
        <color rgb="FF000000"/>
        <rFont val="Arial"/>
        <family val="2"/>
        <charset val="1"/>
      </rPr>
      <t xml:space="preserve">VALOR DE DIÁRIAS </t>
    </r>
    <r>
      <rPr>
        <b/>
        <sz val="8"/>
        <color rgb="FF000000"/>
        <rFont val="Arial"/>
        <family val="2"/>
        <charset val="1"/>
      </rPr>
      <t>PARA 01 PROFISSIONAL</t>
    </r>
  </si>
  <si>
    <t>VALOR TOTAL VIAGEM (VEÍCULO + COMBUSTÍVEL+DIÁRIAS)</t>
  </si>
  <si>
    <t>BDI</t>
  </si>
  <si>
    <t>VALOR TOTAL COM IMPOSTOS</t>
  </si>
  <si>
    <t>VALOR DESLOCAMENTO/ DIA</t>
  </si>
  <si>
    <t>km</t>
  </si>
  <si>
    <t>litros (l)</t>
  </si>
  <si>
    <t>h</t>
  </si>
  <si>
    <t>n</t>
  </si>
  <si>
    <t>unid</t>
  </si>
  <si>
    <t>R$</t>
  </si>
  <si>
    <t>VIAGEM PARA 02 MUNICÍPIOS</t>
  </si>
  <si>
    <t>MÉDIA DISTÂNCIA PERCORRIDA DENTRO DOS MUNICÍPIOS(km)</t>
  </si>
  <si>
    <t>MÉDIA DE TEMPO GASTO COM 02 VISITAS TÉCNICAS(h)</t>
  </si>
  <si>
    <t>VIAGEM PARA 03 MUNICÍPIOS</t>
  </si>
  <si>
    <t xml:space="preserve">PARÂMETROS </t>
  </si>
  <si>
    <t>MÉDIA DE TEMPO GASTO COM 03 VISITAS TÉCNICAS(h)</t>
  </si>
  <si>
    <t>VIAGEM PARA 04 MUNICÍPIOS</t>
  </si>
  <si>
    <t>MÉDIA DE TEMPO GASTO COM 04 VISITAS TÉCNICAS(h)</t>
  </si>
  <si>
    <t>VIAGEM PARA 05 MUNICÍPIOS</t>
  </si>
  <si>
    <t>MÉDIA DE TEMPO GASTO COM 05 VISITAS TÉCNICAS(h)</t>
  </si>
  <si>
    <t>MÉDIA GERAL DE VALOR DE DESLOCAMENTO</t>
  </si>
  <si>
    <t>PARA 01 MUNICÍPIO</t>
  </si>
  <si>
    <t>PARA 02 MUNICÍPIOS</t>
  </si>
  <si>
    <t>PARA 03 MUNICÍPIOS</t>
  </si>
  <si>
    <t>PARA 04 MUNICÍPIOS</t>
  </si>
  <si>
    <t>PARA 05 MUNICÍPIOS</t>
  </si>
  <si>
    <t>VALOR MÉDIO POR DIA DE DESLOCAMENTO</t>
  </si>
  <si>
    <t>VALOR MÉDIO DA GASOLINA COMUM</t>
  </si>
  <si>
    <t>Município</t>
  </si>
  <si>
    <t>Valor médio</t>
  </si>
  <si>
    <t>Alagoinhas</t>
  </si>
  <si>
    <t>Serrinha</t>
  </si>
  <si>
    <t>Feira de Santana</t>
  </si>
  <si>
    <t>Camaçari</t>
  </si>
  <si>
    <t>Jequié</t>
  </si>
  <si>
    <t>Jacobina</t>
  </si>
  <si>
    <t>Irecê</t>
  </si>
  <si>
    <t>Paulo Afonso</t>
  </si>
  <si>
    <t>Valença</t>
  </si>
  <si>
    <t>Salvador</t>
  </si>
  <si>
    <t>Eunápolis</t>
  </si>
  <si>
    <t>Itabuna</t>
  </si>
  <si>
    <t>Juazeiro</t>
  </si>
  <si>
    <t>Vitória da Conquista</t>
  </si>
  <si>
    <t>Porto Seguro</t>
  </si>
  <si>
    <t>Ilhéus</t>
  </si>
  <si>
    <t>VALOR MÉDIO</t>
  </si>
  <si>
    <t>-</t>
  </si>
  <si>
    <t>C.2. Tributos Estaduais (isento)</t>
  </si>
  <si>
    <t>C.3. Tributos Municipais (ISS)</t>
  </si>
  <si>
    <t>Registrato CREA/ CAU</t>
  </si>
  <si>
    <t>Fonte -  http//precodoscombustiveis.com.br</t>
  </si>
  <si>
    <t>Carro pequeno economico</t>
  </si>
  <si>
    <t>Unidas</t>
  </si>
  <si>
    <t>Aproximado</t>
  </si>
  <si>
    <t>Diaria Hotel</t>
  </si>
  <si>
    <t>Alimentação</t>
  </si>
  <si>
    <t>Consideramos R$ 85,00 como valor médio do quilo da refeição considerando almoço e Jantar</t>
  </si>
  <si>
    <t xml:space="preserve">Hotel + alimentação = </t>
  </si>
  <si>
    <t>aproximadamente</t>
  </si>
  <si>
    <t>Movida</t>
  </si>
  <si>
    <t>TOTAL  CONTRATADO PARA 1 ANO</t>
  </si>
  <si>
    <t>Materiais (licenças  software- sistema BIM)</t>
  </si>
  <si>
    <t>C.1. Tributos Federais (COFINS: 3%; PIS 0,65%)</t>
  </si>
  <si>
    <t>VALOR P/ 1 ANO</t>
  </si>
  <si>
    <t>VALOR P/ 2 ANOS</t>
  </si>
  <si>
    <t>ART's/RRT's</t>
  </si>
  <si>
    <t>Arquiteto ou Engenheiro</t>
  </si>
  <si>
    <t>Engenheiro Mecânico</t>
  </si>
  <si>
    <t>Registrato CREA</t>
  </si>
  <si>
    <t>Engenheiro Eletricista</t>
  </si>
  <si>
    <t>Localiza</t>
  </si>
  <si>
    <t>LocarX</t>
  </si>
  <si>
    <t>Decolar (Foco)</t>
  </si>
  <si>
    <t>Lupa</t>
  </si>
  <si>
    <t>Twister</t>
  </si>
  <si>
    <t>Locar Bahia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</si>
</sst>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_-&quot;R$ &quot;* #,##0.00_-;&quot;-R$ &quot;* #,##0.00_-;_-&quot;R$ &quot;* \-??_-;_-@_-"/>
    <numFmt numFmtId="165" formatCode="_-* #,##0.00_-;\-* #,##0.00_-;_-* \-??_-;_-@_-"/>
    <numFmt numFmtId="166" formatCode="_(* #,##0.00_);_(* \(#,##0.00\);_(* \-??_);_(@_)"/>
    <numFmt numFmtId="167" formatCode="#,##0.000"/>
    <numFmt numFmtId="168" formatCode="&quot;R$ &quot;#,##0.00"/>
    <numFmt numFmtId="169" formatCode="_(* #,##0.0000_);_(* \(#,##0.0000\);_(* \-??_);_(@_)"/>
    <numFmt numFmtId="170" formatCode="#,##0.00_ ;\-#,##0.00\ "/>
    <numFmt numFmtId="171" formatCode="&quot;R$&quot;\ #,##0.00"/>
    <numFmt numFmtId="172" formatCode="_-&quot;R$&quot;\ * #,##0.000_-;\-&quot;R$&quot;\ * #,##0.000_-;_-&quot;R$&quot;\ * &quot;-&quot;??_-;_-@_-"/>
    <numFmt numFmtId="173" formatCode="_-* #,##0_-;\-* #,##0_-;_-* \-??_-;_-@_-"/>
    <numFmt numFmtId="174" formatCode="0.000%"/>
  </numFmts>
  <fonts count="4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b/>
      <sz val="9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Arial"/>
      <family val="2"/>
      <charset val="1"/>
    </font>
    <font>
      <i/>
      <sz val="8"/>
      <name val="Arial"/>
      <family val="2"/>
      <charset val="1"/>
    </font>
    <font>
      <b/>
      <u/>
      <sz val="8"/>
      <color rgb="FF1F497D"/>
      <name val="Arial"/>
      <family val="2"/>
      <charset val="1"/>
    </font>
    <font>
      <sz val="8"/>
      <color rgb="FFFF0000"/>
      <name val="Arial"/>
      <family val="2"/>
      <charset val="1"/>
    </font>
    <font>
      <u/>
      <sz val="8"/>
      <name val="Arial"/>
      <family val="2"/>
      <charset val="1"/>
    </font>
    <font>
      <b/>
      <i/>
      <sz val="8"/>
      <color rgb="FFFF0000"/>
      <name val="Arial"/>
      <family val="2"/>
      <charset val="1"/>
    </font>
    <font>
      <b/>
      <i/>
      <sz val="8"/>
      <color rgb="FF000000"/>
      <name val="Arial"/>
      <family val="2"/>
      <charset val="1"/>
    </font>
    <font>
      <sz val="8"/>
      <color rgb="FF1F497D"/>
      <name val="Arial"/>
      <family val="2"/>
      <charset val="1"/>
    </font>
    <font>
      <sz val="11"/>
      <name val="Arial"/>
      <family val="2"/>
      <charset val="1"/>
    </font>
    <font>
      <b/>
      <u/>
      <sz val="14"/>
      <name val="Arial"/>
      <family val="2"/>
      <charset val="1"/>
    </font>
    <font>
      <sz val="14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595959"/>
        <bgColor rgb="FF1F497D"/>
      </patternFill>
    </fill>
    <fill>
      <patternFill patternType="solid">
        <fgColor rgb="FF7F7F7F"/>
        <bgColor rgb="FF999999"/>
      </patternFill>
    </fill>
    <fill>
      <patternFill patternType="solid">
        <fgColor rgb="FFBFBFB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0"/>
        <bgColor rgb="FFFFFFC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8">
    <xf numFmtId="0" fontId="0" fillId="0" borderId="0"/>
    <xf numFmtId="165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0" fontId="1" fillId="0" borderId="0"/>
    <xf numFmtId="0" fontId="2" fillId="0" borderId="0"/>
    <xf numFmtId="0" fontId="3" fillId="0" borderId="0"/>
    <xf numFmtId="9" fontId="33" fillId="0" borderId="0" applyBorder="0" applyProtection="0"/>
    <xf numFmtId="9" fontId="33" fillId="0" borderId="0" applyBorder="0" applyProtection="0"/>
    <xf numFmtId="9" fontId="33" fillId="0" borderId="0" applyBorder="0" applyProtection="0"/>
    <xf numFmtId="165" fontId="33" fillId="0" borderId="0" applyBorder="0" applyProtection="0"/>
    <xf numFmtId="166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5" fontId="33" fillId="0" borderId="0" applyBorder="0" applyProtection="0"/>
  </cellStyleXfs>
  <cellXfs count="239">
    <xf numFmtId="0" fontId="0" fillId="0" borderId="0" xfId="0"/>
    <xf numFmtId="0" fontId="1" fillId="0" borderId="0" xfId="6" applyFont="1"/>
    <xf numFmtId="0" fontId="7" fillId="0" borderId="0" xfId="6" applyFont="1" applyBorder="1" applyAlignment="1">
      <alignment horizontal="center" vertical="center"/>
    </xf>
    <xf numFmtId="0" fontId="1" fillId="0" borderId="1" xfId="6" applyFont="1" applyBorder="1"/>
    <xf numFmtId="0" fontId="7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vertical="center" wrapText="1"/>
    </xf>
    <xf numFmtId="165" fontId="1" fillId="0" borderId="1" xfId="13" applyFont="1" applyBorder="1" applyAlignment="1" applyProtection="1">
      <alignment horizontal="center" vertical="center" wrapText="1"/>
    </xf>
    <xf numFmtId="165" fontId="7" fillId="0" borderId="1" xfId="13" applyFont="1" applyBorder="1" applyAlignment="1" applyProtection="1">
      <alignment horizontal="center" vertical="center" wrapText="1"/>
    </xf>
    <xf numFmtId="0" fontId="7" fillId="0" borderId="0" xfId="6" applyFont="1" applyAlignment="1">
      <alignment vertical="center"/>
    </xf>
    <xf numFmtId="10" fontId="1" fillId="0" borderId="1" xfId="9" applyNumberFormat="1" applyFont="1" applyBorder="1" applyAlignment="1" applyProtection="1">
      <alignment horizontal="center" vertical="center" wrapText="1"/>
    </xf>
    <xf numFmtId="165" fontId="7" fillId="0" borderId="1" xfId="6" applyNumberFormat="1" applyFont="1" applyBorder="1" applyAlignment="1">
      <alignment horizontal="center" vertical="center" wrapText="1"/>
    </xf>
    <xf numFmtId="10" fontId="1" fillId="0" borderId="1" xfId="6" applyNumberFormat="1" applyFont="1" applyBorder="1" applyAlignment="1">
      <alignment horizontal="center" vertical="center" wrapText="1"/>
    </xf>
    <xf numFmtId="10" fontId="7" fillId="0" borderId="1" xfId="6" applyNumberFormat="1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" fillId="0" borderId="0" xfId="6" applyFont="1" applyAlignment="1">
      <alignment vertical="center"/>
    </xf>
    <xf numFmtId="0" fontId="1" fillId="0" borderId="1" xfId="6" applyFont="1" applyBorder="1" applyAlignment="1">
      <alignment horizontal="justify" vertical="center" wrapText="1"/>
    </xf>
    <xf numFmtId="165" fontId="1" fillId="0" borderId="1" xfId="1" applyFont="1" applyBorder="1" applyAlignment="1" applyProtection="1">
      <alignment horizontal="center" vertical="center" wrapText="1"/>
    </xf>
    <xf numFmtId="10" fontId="1" fillId="0" borderId="0" xfId="9" applyNumberFormat="1" applyFont="1" applyBorder="1" applyAlignment="1" applyProtection="1"/>
    <xf numFmtId="165" fontId="1" fillId="0" borderId="0" xfId="6" applyNumberFormat="1" applyFont="1"/>
    <xf numFmtId="0" fontId="7" fillId="0" borderId="1" xfId="6" applyFont="1" applyBorder="1" applyAlignment="1">
      <alignment vertical="center" wrapText="1"/>
    </xf>
    <xf numFmtId="10" fontId="8" fillId="0" borderId="3" xfId="9" applyNumberFormat="1" applyFont="1" applyBorder="1" applyAlignment="1" applyProtection="1">
      <alignment horizontal="center" vertical="center" wrapText="1"/>
    </xf>
    <xf numFmtId="165" fontId="1" fillId="0" borderId="1" xfId="6" applyNumberFormat="1" applyFont="1" applyBorder="1" applyAlignment="1">
      <alignment vertical="center" wrapText="1"/>
    </xf>
    <xf numFmtId="165" fontId="7" fillId="0" borderId="1" xfId="6" applyNumberFormat="1" applyFont="1" applyBorder="1" applyAlignment="1">
      <alignment vertical="center" wrapText="1"/>
    </xf>
    <xf numFmtId="165" fontId="1" fillId="0" borderId="1" xfId="13" applyFont="1" applyBorder="1" applyAlignment="1" applyProtection="1">
      <alignment vertical="center" wrapText="1"/>
    </xf>
    <xf numFmtId="0" fontId="7" fillId="0" borderId="0" xfId="0" applyFont="1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2" applyFont="1" applyBorder="1" applyAlignment="1" applyProtection="1">
      <alignment horizontal="center" vertical="center" wrapText="1"/>
    </xf>
    <xf numFmtId="164" fontId="11" fillId="0" borderId="1" xfId="2" applyFont="1" applyBorder="1" applyAlignment="1" applyProtection="1">
      <alignment horizontal="center" vertical="center" wrapText="1"/>
    </xf>
    <xf numFmtId="164" fontId="12" fillId="0" borderId="1" xfId="2" applyFont="1" applyBorder="1" applyAlignment="1" applyProtection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justify" vertical="center" wrapText="1"/>
    </xf>
    <xf numFmtId="4" fontId="14" fillId="5" borderId="1" xfId="0" applyNumberFormat="1" applyFont="1" applyFill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164" fontId="0" fillId="0" borderId="4" xfId="2" applyFont="1" applyBorder="1" applyAlignment="1" applyProtection="1">
      <alignment horizontal="right" vertical="top"/>
    </xf>
    <xf numFmtId="0" fontId="16" fillId="0" borderId="0" xfId="0" applyFont="1" applyAlignment="1">
      <alignment vertical="top"/>
    </xf>
    <xf numFmtId="164" fontId="0" fillId="0" borderId="0" xfId="0" applyNumberFormat="1" applyAlignment="1">
      <alignment horizontal="left" vertical="top"/>
    </xf>
    <xf numFmtId="0" fontId="17" fillId="0" borderId="0" xfId="5" applyFont="1"/>
    <xf numFmtId="2" fontId="17" fillId="0" borderId="0" xfId="5" applyNumberFormat="1" applyFont="1"/>
    <xf numFmtId="3" fontId="17" fillId="0" borderId="0" xfId="5" applyNumberFormat="1" applyFont="1" applyAlignment="1">
      <alignment horizontal="center"/>
    </xf>
    <xf numFmtId="4" fontId="18" fillId="0" borderId="0" xfId="5" applyNumberFormat="1" applyFont="1"/>
    <xf numFmtId="2" fontId="17" fillId="0" borderId="0" xfId="5" applyNumberFormat="1" applyFont="1" applyAlignment="1">
      <alignment horizontal="center"/>
    </xf>
    <xf numFmtId="0" fontId="17" fillId="0" borderId="0" xfId="5" applyFont="1" applyAlignment="1">
      <alignment horizontal="center" vertical="center"/>
    </xf>
    <xf numFmtId="0" fontId="17" fillId="0" borderId="0" xfId="5" applyFont="1" applyAlignment="1">
      <alignment horizontal="center"/>
    </xf>
    <xf numFmtId="1" fontId="19" fillId="0" borderId="0" xfId="5" applyNumberFormat="1" applyFont="1" applyAlignment="1">
      <alignment horizontal="center"/>
    </xf>
    <xf numFmtId="0" fontId="19" fillId="0" borderId="0" xfId="5" applyFont="1" applyAlignment="1">
      <alignment horizontal="center"/>
    </xf>
    <xf numFmtId="1" fontId="20" fillId="0" borderId="0" xfId="5" applyNumberFormat="1" applyFont="1" applyAlignment="1">
      <alignment horizontal="center"/>
    </xf>
    <xf numFmtId="0" fontId="20" fillId="0" borderId="0" xfId="5" applyFont="1" applyAlignment="1">
      <alignment horizontal="center"/>
    </xf>
    <xf numFmtId="0" fontId="18" fillId="0" borderId="5" xfId="5" applyFont="1" applyBorder="1" applyAlignment="1">
      <alignment horizontal="center" vertical="center"/>
    </xf>
    <xf numFmtId="2" fontId="17" fillId="0" borderId="0" xfId="5" applyNumberFormat="1" applyFont="1" applyAlignment="1">
      <alignment horizontal="center" vertical="center"/>
    </xf>
    <xf numFmtId="0" fontId="17" fillId="0" borderId="0" xfId="5" applyFont="1" applyAlignment="1">
      <alignment vertical="center"/>
    </xf>
    <xf numFmtId="1" fontId="19" fillId="0" borderId="0" xfId="5" applyNumberFormat="1" applyFont="1" applyAlignment="1">
      <alignment horizontal="center" vertical="center"/>
    </xf>
    <xf numFmtId="0" fontId="19" fillId="0" borderId="0" xfId="5" applyFont="1" applyAlignment="1">
      <alignment horizontal="center" vertical="center"/>
    </xf>
    <xf numFmtId="4" fontId="18" fillId="0" borderId="1" xfId="5" applyNumberFormat="1" applyFont="1" applyBorder="1"/>
    <xf numFmtId="4" fontId="18" fillId="0" borderId="1" xfId="5" applyNumberFormat="1" applyFont="1" applyBorder="1" applyAlignment="1">
      <alignment horizontal="right"/>
    </xf>
    <xf numFmtId="167" fontId="18" fillId="0" borderId="1" xfId="5" applyNumberFormat="1" applyFont="1" applyBorder="1"/>
    <xf numFmtId="4" fontId="18" fillId="0" borderId="1" xfId="5" applyNumberFormat="1" applyFont="1" applyBorder="1" applyAlignment="1">
      <alignment vertical="center"/>
    </xf>
    <xf numFmtId="0" fontId="22" fillId="5" borderId="0" xfId="5" applyFont="1" applyFill="1" applyAlignment="1">
      <alignment horizontal="center" vertical="center"/>
    </xf>
    <xf numFmtId="0" fontId="17" fillId="0" borderId="0" xfId="5" applyFont="1" applyAlignment="1">
      <alignment horizontal="left" vertical="center"/>
    </xf>
    <xf numFmtId="0" fontId="4" fillId="7" borderId="6" xfId="5" applyFont="1" applyFill="1" applyBorder="1" applyAlignment="1">
      <alignment horizontal="center" vertical="center" wrapText="1"/>
    </xf>
    <xf numFmtId="0" fontId="4" fillId="7" borderId="7" xfId="5" applyFont="1" applyFill="1" applyBorder="1" applyAlignment="1">
      <alignment horizontal="center" vertical="center" wrapText="1"/>
    </xf>
    <xf numFmtId="2" fontId="17" fillId="7" borderId="7" xfId="5" applyNumberFormat="1" applyFont="1" applyFill="1" applyBorder="1" applyAlignment="1">
      <alignment horizontal="center" vertical="center" wrapText="1"/>
    </xf>
    <xf numFmtId="3" fontId="4" fillId="7" borderId="7" xfId="5" applyNumberFormat="1" applyFont="1" applyFill="1" applyBorder="1" applyAlignment="1">
      <alignment horizontal="center" vertical="center" wrapText="1"/>
    </xf>
    <xf numFmtId="4" fontId="4" fillId="7" borderId="7" xfId="5" applyNumberFormat="1" applyFont="1" applyFill="1" applyBorder="1" applyAlignment="1">
      <alignment horizontal="center" vertical="center" wrapText="1"/>
    </xf>
    <xf numFmtId="2" fontId="4" fillId="7" borderId="7" xfId="5" applyNumberFormat="1" applyFont="1" applyFill="1" applyBorder="1" applyAlignment="1">
      <alignment horizontal="center" vertical="center" wrapText="1"/>
    </xf>
    <xf numFmtId="0" fontId="20" fillId="7" borderId="7" xfId="5" applyFont="1" applyFill="1" applyBorder="1" applyAlignment="1">
      <alignment horizontal="center" vertical="center" wrapText="1"/>
    </xf>
    <xf numFmtId="0" fontId="4" fillId="7" borderId="8" xfId="5" applyFont="1" applyFill="1" applyBorder="1" applyAlignment="1">
      <alignment horizontal="center" vertical="center" wrapText="1"/>
    </xf>
    <xf numFmtId="1" fontId="24" fillId="0" borderId="0" xfId="5" applyNumberFormat="1" applyFont="1" applyAlignment="1">
      <alignment horizontal="center" vertical="center"/>
    </xf>
    <xf numFmtId="0" fontId="24" fillId="0" borderId="0" xfId="5" applyFont="1" applyAlignment="1">
      <alignment horizontal="center" vertical="center" wrapText="1"/>
    </xf>
    <xf numFmtId="0" fontId="4" fillId="0" borderId="0" xfId="5" applyFont="1" applyAlignment="1">
      <alignment horizontal="center" vertical="center"/>
    </xf>
    <xf numFmtId="0" fontId="5" fillId="7" borderId="9" xfId="5" applyFont="1" applyFill="1" applyBorder="1" applyAlignment="1">
      <alignment horizontal="center" vertical="center" wrapText="1"/>
    </xf>
    <xf numFmtId="0" fontId="5" fillId="7" borderId="4" xfId="5" applyFont="1" applyFill="1" applyBorder="1" applyAlignment="1">
      <alignment horizontal="center" vertical="center" wrapText="1"/>
    </xf>
    <xf numFmtId="2" fontId="5" fillId="7" borderId="4" xfId="5" applyNumberFormat="1" applyFont="1" applyFill="1" applyBorder="1" applyAlignment="1">
      <alignment horizontal="center" vertical="center" wrapText="1"/>
    </xf>
    <xf numFmtId="3" fontId="5" fillId="7" borderId="4" xfId="5" applyNumberFormat="1" applyFont="1" applyFill="1" applyBorder="1" applyAlignment="1">
      <alignment horizontal="center" vertical="center" wrapText="1"/>
    </xf>
    <xf numFmtId="4" fontId="5" fillId="7" borderId="4" xfId="5" applyNumberFormat="1" applyFont="1" applyFill="1" applyBorder="1" applyAlignment="1">
      <alignment horizontal="center" vertical="center" wrapText="1"/>
    </xf>
    <xf numFmtId="10" fontId="19" fillId="7" borderId="4" xfId="5" applyNumberFormat="1" applyFont="1" applyFill="1" applyBorder="1" applyAlignment="1">
      <alignment horizontal="center" vertical="center"/>
    </xf>
    <xf numFmtId="0" fontId="5" fillId="7" borderId="10" xfId="5" applyFont="1" applyFill="1" applyBorder="1" applyAlignment="1">
      <alignment horizontal="center" vertical="center" wrapText="1"/>
    </xf>
    <xf numFmtId="1" fontId="25" fillId="0" borderId="0" xfId="5" applyNumberFormat="1" applyFont="1" applyAlignment="1">
      <alignment horizontal="center" vertical="center"/>
    </xf>
    <xf numFmtId="0" fontId="25" fillId="0" borderId="0" xfId="5" applyFont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3" fontId="17" fillId="0" borderId="1" xfId="11" applyNumberFormat="1" applyFont="1" applyBorder="1" applyAlignment="1" applyProtection="1">
      <alignment horizontal="center" vertical="center"/>
    </xf>
    <xf numFmtId="2" fontId="4" fillId="0" borderId="1" xfId="11" applyNumberFormat="1" applyFont="1" applyBorder="1" applyAlignment="1" applyProtection="1">
      <alignment horizontal="center" vertical="center"/>
    </xf>
    <xf numFmtId="2" fontId="4" fillId="0" borderId="1" xfId="5" applyNumberFormat="1" applyFont="1" applyBorder="1" applyAlignment="1">
      <alignment horizontal="center" vertical="center"/>
    </xf>
    <xf numFmtId="3" fontId="4" fillId="0" borderId="1" xfId="5" applyNumberFormat="1" applyFont="1" applyBorder="1" applyAlignment="1">
      <alignment horizontal="center" vertical="center"/>
    </xf>
    <xf numFmtId="4" fontId="4" fillId="0" borderId="1" xfId="5" applyNumberFormat="1" applyFont="1" applyBorder="1" applyAlignment="1">
      <alignment horizontal="center" vertical="center"/>
    </xf>
    <xf numFmtId="2" fontId="17" fillId="0" borderId="1" xfId="5" applyNumberFormat="1" applyFont="1" applyBorder="1" applyAlignment="1">
      <alignment horizontal="center" vertical="center"/>
    </xf>
    <xf numFmtId="1" fontId="17" fillId="0" borderId="1" xfId="5" applyNumberFormat="1" applyFont="1" applyBorder="1" applyAlignment="1">
      <alignment horizontal="center" vertical="center"/>
    </xf>
    <xf numFmtId="4" fontId="17" fillId="0" borderId="1" xfId="11" applyNumberFormat="1" applyFont="1" applyBorder="1" applyAlignment="1" applyProtection="1">
      <alignment horizontal="center" vertical="center"/>
    </xf>
    <xf numFmtId="168" fontId="4" fillId="8" borderId="1" xfId="5" applyNumberFormat="1" applyFont="1" applyFill="1" applyBorder="1" applyAlignment="1">
      <alignment horizontal="center" vertical="center"/>
    </xf>
    <xf numFmtId="168" fontId="17" fillId="8" borderId="1" xfId="11" applyNumberFormat="1" applyFont="1" applyFill="1" applyBorder="1" applyAlignment="1" applyProtection="1">
      <alignment horizontal="center" vertical="center"/>
    </xf>
    <xf numFmtId="168" fontId="4" fillId="8" borderId="1" xfId="11" applyNumberFormat="1" applyFont="1" applyFill="1" applyBorder="1" applyAlignment="1" applyProtection="1">
      <alignment horizontal="center" vertical="center"/>
    </xf>
    <xf numFmtId="168" fontId="5" fillId="8" borderId="12" xfId="5" applyNumberFormat="1" applyFont="1" applyFill="1" applyBorder="1" applyAlignment="1">
      <alignment horizontal="center" vertical="center"/>
    </xf>
    <xf numFmtId="165" fontId="24" fillId="0" borderId="0" xfId="5" applyNumberFormat="1" applyFont="1" applyAlignment="1">
      <alignment horizontal="center" vertical="center"/>
    </xf>
    <xf numFmtId="166" fontId="5" fillId="0" borderId="0" xfId="5" applyNumberFormat="1" applyFont="1" applyAlignment="1">
      <alignment horizontal="center" vertical="center"/>
    </xf>
    <xf numFmtId="169" fontId="5" fillId="0" borderId="0" xfId="5" applyNumberFormat="1" applyFont="1" applyAlignment="1">
      <alignment horizontal="center" vertical="center"/>
    </xf>
    <xf numFmtId="0" fontId="4" fillId="0" borderId="13" xfId="5" applyFont="1" applyBorder="1" applyAlignment="1">
      <alignment horizontal="center" vertical="center"/>
    </xf>
    <xf numFmtId="3" fontId="17" fillId="0" borderId="14" xfId="11" applyNumberFormat="1" applyFont="1" applyBorder="1" applyAlignment="1" applyProtection="1">
      <alignment horizontal="center" vertical="center"/>
    </xf>
    <xf numFmtId="2" fontId="4" fillId="0" borderId="14" xfId="11" applyNumberFormat="1" applyFont="1" applyBorder="1" applyAlignment="1" applyProtection="1">
      <alignment horizontal="center" vertical="center"/>
    </xf>
    <xf numFmtId="2" fontId="4" fillId="0" borderId="14" xfId="5" applyNumberFormat="1" applyFont="1" applyBorder="1" applyAlignment="1">
      <alignment horizontal="center" vertical="center"/>
    </xf>
    <xf numFmtId="4" fontId="4" fillId="0" borderId="14" xfId="5" applyNumberFormat="1" applyFont="1" applyBorder="1" applyAlignment="1">
      <alignment horizontal="center" vertical="center"/>
    </xf>
    <xf numFmtId="2" fontId="17" fillId="0" borderId="14" xfId="5" applyNumberFormat="1" applyFont="1" applyBorder="1" applyAlignment="1">
      <alignment horizontal="center" vertical="center"/>
    </xf>
    <xf numFmtId="1" fontId="17" fillId="0" borderId="14" xfId="5" applyNumberFormat="1" applyFont="1" applyBorder="1" applyAlignment="1">
      <alignment horizontal="center" vertical="center"/>
    </xf>
    <xf numFmtId="4" fontId="17" fillId="0" borderId="14" xfId="11" applyNumberFormat="1" applyFont="1" applyBorder="1" applyAlignment="1" applyProtection="1">
      <alignment horizontal="center" vertical="center"/>
    </xf>
    <xf numFmtId="168" fontId="4" fillId="8" borderId="14" xfId="5" applyNumberFormat="1" applyFont="1" applyFill="1" applyBorder="1" applyAlignment="1">
      <alignment horizontal="center" vertical="center"/>
    </xf>
    <xf numFmtId="168" fontId="4" fillId="8" borderId="14" xfId="11" applyNumberFormat="1" applyFont="1" applyFill="1" applyBorder="1" applyAlignment="1" applyProtection="1">
      <alignment horizontal="center" vertical="center"/>
    </xf>
    <xf numFmtId="168" fontId="17" fillId="8" borderId="14" xfId="11" applyNumberFormat="1" applyFont="1" applyFill="1" applyBorder="1" applyAlignment="1" applyProtection="1">
      <alignment horizontal="center" vertical="center"/>
    </xf>
    <xf numFmtId="168" fontId="5" fillId="8" borderId="15" xfId="5" applyNumberFormat="1" applyFont="1" applyFill="1" applyBorder="1" applyAlignment="1">
      <alignment horizontal="center" vertical="center"/>
    </xf>
    <xf numFmtId="0" fontId="4" fillId="0" borderId="0" xfId="5" applyFont="1"/>
    <xf numFmtId="2" fontId="4" fillId="0" borderId="0" xfId="5" applyNumberFormat="1" applyFont="1"/>
    <xf numFmtId="3" fontId="4" fillId="0" borderId="0" xfId="5" applyNumberFormat="1" applyFont="1" applyAlignment="1">
      <alignment horizontal="center"/>
    </xf>
    <xf numFmtId="4" fontId="5" fillId="0" borderId="0" xfId="5" applyNumberFormat="1" applyFont="1"/>
    <xf numFmtId="2" fontId="4" fillId="0" borderId="0" xfId="5" applyNumberFormat="1" applyFont="1" applyAlignment="1">
      <alignment horizontal="center"/>
    </xf>
    <xf numFmtId="0" fontId="4" fillId="0" borderId="0" xfId="5" applyFont="1" applyAlignment="1">
      <alignment horizontal="center"/>
    </xf>
    <xf numFmtId="1" fontId="24" fillId="0" borderId="0" xfId="5" applyNumberFormat="1" applyFont="1" applyAlignment="1">
      <alignment horizontal="center"/>
    </xf>
    <xf numFmtId="165" fontId="24" fillId="0" borderId="0" xfId="5" applyNumberFormat="1" applyFont="1" applyAlignment="1">
      <alignment horizontal="center"/>
    </xf>
    <xf numFmtId="0" fontId="22" fillId="0" borderId="0" xfId="5" applyFont="1" applyAlignment="1">
      <alignment horizontal="center"/>
    </xf>
    <xf numFmtId="0" fontId="26" fillId="7" borderId="7" xfId="5" applyFont="1" applyFill="1" applyBorder="1" applyAlignment="1">
      <alignment horizontal="center" vertical="center" wrapText="1"/>
    </xf>
    <xf numFmtId="3" fontId="26" fillId="7" borderId="7" xfId="5" applyNumberFormat="1" applyFont="1" applyFill="1" applyBorder="1" applyAlignment="1">
      <alignment horizontal="center" vertical="center" wrapText="1"/>
    </xf>
    <xf numFmtId="3" fontId="17" fillId="0" borderId="1" xfId="5" applyNumberFormat="1" applyFont="1" applyBorder="1" applyAlignment="1">
      <alignment horizontal="center" vertical="center"/>
    </xf>
    <xf numFmtId="3" fontId="26" fillId="0" borderId="1" xfId="11" applyNumberFormat="1" applyFont="1" applyBorder="1" applyAlignment="1" applyProtection="1">
      <alignment horizontal="center" vertical="center"/>
    </xf>
    <xf numFmtId="3" fontId="26" fillId="0" borderId="1" xfId="5" applyNumberFormat="1" applyFont="1" applyBorder="1" applyAlignment="1">
      <alignment horizontal="center" vertical="center"/>
    </xf>
    <xf numFmtId="0" fontId="18" fillId="0" borderId="5" xfId="5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/>
    </xf>
    <xf numFmtId="0" fontId="17" fillId="0" borderId="16" xfId="5" applyFont="1" applyBorder="1" applyAlignment="1">
      <alignment horizontal="left" vertical="center"/>
    </xf>
    <xf numFmtId="0" fontId="17" fillId="0" borderId="3" xfId="5" applyFont="1" applyBorder="1" applyAlignment="1">
      <alignment horizontal="left" vertical="center"/>
    </xf>
    <xf numFmtId="0" fontId="2" fillId="0" borderId="0" xfId="5"/>
    <xf numFmtId="0" fontId="27" fillId="0" borderId="0" xfId="5" applyFont="1" applyAlignment="1">
      <alignment vertical="center" wrapText="1"/>
    </xf>
    <xf numFmtId="0" fontId="29" fillId="0" borderId="0" xfId="5" applyFont="1" applyAlignment="1">
      <alignment horizontal="center"/>
    </xf>
    <xf numFmtId="0" fontId="30" fillId="0" borderId="1" xfId="5" applyFont="1" applyBorder="1" applyAlignment="1">
      <alignment vertical="center"/>
    </xf>
    <xf numFmtId="168" fontId="2" fillId="0" borderId="1" xfId="5" applyNumberFormat="1" applyBorder="1" applyAlignment="1">
      <alignment vertical="center"/>
    </xf>
    <xf numFmtId="0" fontId="2" fillId="0" borderId="0" xfId="5" applyAlignment="1">
      <alignment vertical="center"/>
    </xf>
    <xf numFmtId="0" fontId="2" fillId="0" borderId="1" xfId="5" applyBorder="1" applyAlignment="1">
      <alignment vertical="center"/>
    </xf>
    <xf numFmtId="168" fontId="31" fillId="0" borderId="1" xfId="5" applyNumberFormat="1" applyFont="1" applyBorder="1" applyAlignment="1">
      <alignment vertical="center"/>
    </xf>
    <xf numFmtId="0" fontId="32" fillId="6" borderId="1" xfId="5" applyFont="1" applyFill="1" applyBorder="1" applyAlignment="1">
      <alignment horizontal="right" vertical="center" wrapText="1"/>
    </xf>
    <xf numFmtId="168" fontId="32" fillId="6" borderId="1" xfId="5" applyNumberFormat="1" applyFont="1" applyFill="1" applyBorder="1" applyAlignment="1">
      <alignment vertical="center"/>
    </xf>
    <xf numFmtId="168" fontId="2" fillId="0" borderId="0" xfId="5" applyNumberFormat="1" applyAlignment="1">
      <alignment vertical="center"/>
    </xf>
    <xf numFmtId="0" fontId="31" fillId="0" borderId="0" xfId="5" applyFont="1"/>
    <xf numFmtId="43" fontId="1" fillId="0" borderId="0" xfId="6" applyNumberFormat="1" applyFont="1"/>
    <xf numFmtId="171" fontId="1" fillId="0" borderId="0" xfId="6" applyNumberFormat="1" applyFont="1"/>
    <xf numFmtId="165" fontId="1" fillId="9" borderId="1" xfId="13" applyFont="1" applyFill="1" applyBorder="1" applyAlignment="1" applyProtection="1">
      <alignment horizontal="center" vertical="center" wrapText="1"/>
    </xf>
    <xf numFmtId="43" fontId="0" fillId="0" borderId="0" xfId="0" applyNumberFormat="1"/>
    <xf numFmtId="0" fontId="35" fillId="0" borderId="1" xfId="0" applyFont="1" applyBorder="1"/>
    <xf numFmtId="0" fontId="35" fillId="0" borderId="0" xfId="0" applyFont="1"/>
    <xf numFmtId="0" fontId="35" fillId="0" borderId="1" xfId="0" applyFont="1" applyBorder="1" applyAlignment="1">
      <alignment horizontal="center" vertical="center"/>
    </xf>
    <xf numFmtId="0" fontId="0" fillId="0" borderId="1" xfId="0" applyBorder="1"/>
    <xf numFmtId="172" fontId="0" fillId="0" borderId="1" xfId="2" applyNumberFormat="1" applyFont="1" applyBorder="1"/>
    <xf numFmtId="172" fontId="35" fillId="0" borderId="1" xfId="0" applyNumberFormat="1" applyFont="1" applyBorder="1"/>
    <xf numFmtId="0" fontId="37" fillId="0" borderId="0" xfId="0" applyFont="1"/>
    <xf numFmtId="0" fontId="37" fillId="0" borderId="1" xfId="0" applyFont="1" applyBorder="1"/>
    <xf numFmtId="164" fontId="37" fillId="0" borderId="1" xfId="2" applyFont="1" applyBorder="1"/>
    <xf numFmtId="165" fontId="37" fillId="0" borderId="0" xfId="1" applyFont="1"/>
    <xf numFmtId="164" fontId="37" fillId="0" borderId="0" xfId="2" applyFont="1"/>
    <xf numFmtId="0" fontId="36" fillId="10" borderId="0" xfId="0" applyFont="1" applyFill="1"/>
    <xf numFmtId="164" fontId="36" fillId="10" borderId="0" xfId="2" applyFont="1" applyFill="1"/>
    <xf numFmtId="0" fontId="2" fillId="0" borderId="0" xfId="0" applyFont="1"/>
    <xf numFmtId="172" fontId="0" fillId="0" borderId="0" xfId="0" applyNumberFormat="1"/>
    <xf numFmtId="0" fontId="35" fillId="9" borderId="0" xfId="0" applyFont="1" applyFill="1"/>
    <xf numFmtId="172" fontId="38" fillId="9" borderId="0" xfId="0" applyNumberFormat="1" applyFont="1" applyFill="1"/>
    <xf numFmtId="10" fontId="1" fillId="11" borderId="1" xfId="9" applyNumberFormat="1" applyFont="1" applyFill="1" applyBorder="1" applyAlignment="1" applyProtection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4" fontId="40" fillId="0" borderId="1" xfId="5" applyNumberFormat="1" applyFont="1" applyBorder="1"/>
    <xf numFmtId="4" fontId="40" fillId="0" borderId="1" xfId="5" applyNumberFormat="1" applyFont="1" applyBorder="1" applyAlignment="1">
      <alignment horizontal="right"/>
    </xf>
    <xf numFmtId="167" fontId="40" fillId="0" borderId="1" xfId="5" applyNumberFormat="1" applyFont="1" applyBorder="1"/>
    <xf numFmtId="4" fontId="40" fillId="0" borderId="1" xfId="5" applyNumberFormat="1" applyFont="1" applyBorder="1" applyAlignment="1">
      <alignment vertical="center"/>
    </xf>
    <xf numFmtId="0" fontId="39" fillId="0" borderId="0" xfId="5" applyFont="1" applyAlignment="1">
      <alignment horizontal="center"/>
    </xf>
    <xf numFmtId="0" fontId="40" fillId="0" borderId="0" xfId="5" applyFont="1" applyAlignment="1">
      <alignment horizontal="center"/>
    </xf>
    <xf numFmtId="0" fontId="40" fillId="0" borderId="0" xfId="5" applyFont="1" applyAlignment="1">
      <alignment horizontal="center" vertical="center"/>
    </xf>
    <xf numFmtId="0" fontId="41" fillId="0" borderId="0" xfId="5" applyFont="1" applyAlignment="1">
      <alignment horizontal="center" vertical="center" wrapText="1"/>
    </xf>
    <xf numFmtId="0" fontId="42" fillId="0" borderId="0" xfId="5" applyFont="1" applyAlignment="1">
      <alignment horizontal="center" vertical="center"/>
    </xf>
    <xf numFmtId="170" fontId="41" fillId="0" borderId="0" xfId="5" applyNumberFormat="1" applyFont="1" applyAlignment="1">
      <alignment horizontal="center" vertical="center"/>
    </xf>
    <xf numFmtId="170" fontId="41" fillId="0" borderId="0" xfId="5" applyNumberFormat="1" applyFont="1" applyAlignment="1">
      <alignment horizontal="center"/>
    </xf>
    <xf numFmtId="0" fontId="39" fillId="0" borderId="0" xfId="5" applyFont="1"/>
    <xf numFmtId="0" fontId="1" fillId="0" borderId="0" xfId="0" applyFont="1" applyBorder="1" applyAlignment="1">
      <alignment horizontal="left" vertical="center"/>
    </xf>
    <xf numFmtId="0" fontId="7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vertical="center" wrapText="1"/>
    </xf>
    <xf numFmtId="0" fontId="7" fillId="0" borderId="1" xfId="6" applyFont="1" applyBorder="1" applyAlignment="1">
      <alignment vertical="center" wrapText="1"/>
    </xf>
    <xf numFmtId="0" fontId="15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173" fontId="33" fillId="0" borderId="19" xfId="1" applyNumberFormat="1" applyBorder="1" applyAlignment="1">
      <alignment vertical="center"/>
    </xf>
    <xf numFmtId="164" fontId="14" fillId="0" borderId="19" xfId="0" applyNumberFormat="1" applyFont="1" applyBorder="1" applyAlignment="1">
      <alignment horizontal="left" vertical="center"/>
    </xf>
    <xf numFmtId="164" fontId="14" fillId="0" borderId="19" xfId="0" applyNumberFormat="1" applyFont="1" applyBorder="1" applyAlignment="1">
      <alignment horizontal="left" vertical="center" wrapText="1"/>
    </xf>
    <xf numFmtId="164" fontId="14" fillId="0" borderId="19" xfId="0" applyNumberFormat="1" applyFont="1" applyBorder="1" applyAlignment="1">
      <alignment horizontal="center" vertical="center"/>
    </xf>
    <xf numFmtId="0" fontId="14" fillId="6" borderId="19" xfId="0" applyFont="1" applyFill="1" applyBorder="1" applyAlignment="1">
      <alignment horizontal="left" vertical="center"/>
    </xf>
    <xf numFmtId="0" fontId="13" fillId="6" borderId="19" xfId="0" applyFont="1" applyFill="1" applyBorder="1" applyAlignment="1">
      <alignment vertical="center"/>
    </xf>
    <xf numFmtId="0" fontId="13" fillId="6" borderId="19" xfId="0" applyFont="1" applyFill="1" applyBorder="1" applyAlignment="1">
      <alignment horizontal="center" vertical="center"/>
    </xf>
    <xf numFmtId="0" fontId="13" fillId="6" borderId="19" xfId="0" applyFont="1" applyFill="1" applyBorder="1" applyAlignment="1">
      <alignment horizontal="left" vertical="center"/>
    </xf>
    <xf numFmtId="164" fontId="13" fillId="0" borderId="19" xfId="0" applyNumberFormat="1" applyFont="1" applyBorder="1" applyAlignment="1">
      <alignment horizontal="left" vertical="center"/>
    </xf>
    <xf numFmtId="164" fontId="13" fillId="0" borderId="19" xfId="0" applyNumberFormat="1" applyFont="1" applyBorder="1" applyAlignment="1">
      <alignment horizontal="left" vertical="center" wrapText="1"/>
    </xf>
    <xf numFmtId="174" fontId="1" fillId="0" borderId="1" xfId="6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13" fillId="6" borderId="19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 wrapText="1"/>
    </xf>
    <xf numFmtId="164" fontId="14" fillId="0" borderId="19" xfId="0" applyNumberFormat="1" applyFont="1" applyBorder="1" applyAlignment="1">
      <alignment horizontal="center" vertical="center"/>
    </xf>
    <xf numFmtId="164" fontId="14" fillId="0" borderId="19" xfId="2" applyFont="1" applyBorder="1" applyAlignment="1" applyProtection="1">
      <alignment horizontal="center" vertical="center"/>
    </xf>
    <xf numFmtId="0" fontId="14" fillId="6" borderId="19" xfId="0" applyFont="1" applyFill="1" applyBorder="1" applyAlignment="1">
      <alignment horizontal="left" vertical="center"/>
    </xf>
    <xf numFmtId="0" fontId="6" fillId="2" borderId="0" xfId="6" applyFont="1" applyFill="1" applyBorder="1" applyAlignment="1">
      <alignment horizontal="center"/>
    </xf>
    <xf numFmtId="0" fontId="7" fillId="3" borderId="0" xfId="6" applyFont="1" applyFill="1" applyBorder="1" applyAlignment="1">
      <alignment horizontal="center" vertical="center"/>
    </xf>
    <xf numFmtId="0" fontId="1" fillId="0" borderId="1" xfId="6" applyFont="1" applyBorder="1" applyAlignment="1">
      <alignment horizontal="center"/>
    </xf>
    <xf numFmtId="164" fontId="1" fillId="0" borderId="1" xfId="2" applyFont="1" applyBorder="1" applyAlignment="1" applyProtection="1">
      <alignment horizontal="center"/>
    </xf>
    <xf numFmtId="17" fontId="1" fillId="0" borderId="1" xfId="6" applyNumberFormat="1" applyFont="1" applyBorder="1" applyAlignment="1">
      <alignment horizontal="center"/>
    </xf>
    <xf numFmtId="0" fontId="7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vertical="center" wrapText="1"/>
    </xf>
    <xf numFmtId="0" fontId="7" fillId="4" borderId="0" xfId="6" applyFont="1" applyFill="1" applyBorder="1" applyAlignment="1">
      <alignment horizontal="center" vertical="center"/>
    </xf>
    <xf numFmtId="0" fontId="7" fillId="4" borderId="0" xfId="6" applyFont="1" applyFill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0" fontId="7" fillId="0" borderId="1" xfId="6" applyFont="1" applyBorder="1" applyAlignment="1">
      <alignment vertical="center" wrapText="1"/>
    </xf>
    <xf numFmtId="0" fontId="7" fillId="0" borderId="2" xfId="6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0" fontId="13" fillId="5" borderId="1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18" fillId="0" borderId="0" xfId="5" applyFont="1" applyBorder="1" applyAlignment="1">
      <alignment horizontal="center"/>
    </xf>
    <xf numFmtId="0" fontId="21" fillId="0" borderId="0" xfId="5" applyFont="1" applyBorder="1" applyAlignment="1">
      <alignment horizontal="center"/>
    </xf>
    <xf numFmtId="0" fontId="18" fillId="0" borderId="5" xfId="5" applyFont="1" applyBorder="1" applyAlignment="1">
      <alignment horizontal="center" vertical="center"/>
    </xf>
    <xf numFmtId="0" fontId="17" fillId="0" borderId="1" xfId="5" applyFont="1" applyBorder="1" applyAlignment="1">
      <alignment horizontal="left" vertical="center"/>
    </xf>
    <xf numFmtId="0" fontId="18" fillId="0" borderId="1" xfId="5" applyFont="1" applyBorder="1" applyAlignment="1">
      <alignment horizontal="center" vertical="center"/>
    </xf>
    <xf numFmtId="0" fontId="27" fillId="0" borderId="0" xfId="5" applyFont="1" applyBorder="1" applyAlignment="1">
      <alignment horizontal="center" vertical="center" wrapText="1"/>
    </xf>
    <xf numFmtId="0" fontId="28" fillId="0" borderId="0" xfId="5" applyFont="1" applyBorder="1" applyAlignment="1">
      <alignment horizontal="center"/>
    </xf>
    <xf numFmtId="0" fontId="3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72" fontId="0" fillId="0" borderId="4" xfId="2" applyNumberFormat="1" applyFont="1" applyBorder="1" applyAlignment="1">
      <alignment horizontal="center" vertical="center"/>
    </xf>
    <xf numFmtId="172" fontId="0" fillId="0" borderId="17" xfId="2" applyNumberFormat="1" applyFont="1" applyBorder="1" applyAlignment="1">
      <alignment horizontal="center" vertical="center"/>
    </xf>
    <xf numFmtId="172" fontId="0" fillId="0" borderId="18" xfId="2" applyNumberFormat="1" applyFont="1" applyBorder="1" applyAlignment="1">
      <alignment horizontal="center" vertical="center"/>
    </xf>
  </cellXfs>
  <cellStyles count="18">
    <cellStyle name="Moeda" xfId="2" builtinId="4"/>
    <cellStyle name="Moeda 2" xfId="3"/>
    <cellStyle name="Normal" xfId="0" builtinId="0"/>
    <cellStyle name="Normal 2" xfId="4"/>
    <cellStyle name="Normal 3" xfId="5"/>
    <cellStyle name="Normal 4" xfId="6"/>
    <cellStyle name="Porcentagem 2" xfId="7"/>
    <cellStyle name="Porcentagem 3" xfId="8"/>
    <cellStyle name="Porcentagem 4" xfId="9"/>
    <cellStyle name="Vírgula" xfId="1" builtinId="3"/>
    <cellStyle name="Vírgula 2" xfId="10"/>
    <cellStyle name="Vírgula 3" xfId="11"/>
    <cellStyle name="Vírgula 3 2" xfId="12"/>
    <cellStyle name="Vírgula 4" xfId="13"/>
    <cellStyle name="Vírgula 4 2" xfId="14"/>
    <cellStyle name="Vírgula 5" xfId="15"/>
    <cellStyle name="Vírgula 5 2" xfId="16"/>
    <cellStyle name="Vírgula 6" xfId="1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99999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</xdr:colOff>
      <xdr:row>0</xdr:row>
      <xdr:rowOff>38101</xdr:rowOff>
    </xdr:from>
    <xdr:to>
      <xdr:col>4</xdr:col>
      <xdr:colOff>857249</xdr:colOff>
      <xdr:row>6</xdr:row>
      <xdr:rowOff>33963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799" y="38101"/>
          <a:ext cx="2543175" cy="9674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20"/>
  <sheetViews>
    <sheetView tabSelected="1" topLeftCell="A2" zoomScaleNormal="100" workbookViewId="0">
      <selection activeCell="W25" sqref="W25"/>
    </sheetView>
  </sheetViews>
  <sheetFormatPr defaultColWidth="8.6640625" defaultRowHeight="12.75" x14ac:dyDescent="0.2"/>
  <cols>
    <col min="1" max="1" width="44.33203125" bestFit="1" customWidth="1"/>
    <col min="2" max="2" width="11" customWidth="1"/>
    <col min="3" max="3" width="19.5" customWidth="1"/>
    <col min="4" max="4" width="1" hidden="1" customWidth="1"/>
    <col min="5" max="5" width="17.33203125" customWidth="1"/>
    <col min="6" max="6" width="20.83203125" bestFit="1" customWidth="1"/>
    <col min="7" max="7" width="21.6640625" customWidth="1"/>
    <col min="8" max="8" width="3.33203125" customWidth="1"/>
    <col min="9" max="9" width="5.83203125" customWidth="1"/>
    <col min="10" max="10" width="27.1640625" customWidth="1"/>
    <col min="11" max="11" width="3.33203125" customWidth="1"/>
    <col min="12" max="12" width="2.1640625" customWidth="1"/>
    <col min="13" max="14" width="1.1640625" customWidth="1"/>
    <col min="15" max="15" width="5.83203125" customWidth="1"/>
    <col min="16" max="16" width="1.1640625" customWidth="1"/>
    <col min="17" max="17" width="2.1640625" customWidth="1"/>
    <col min="18" max="18" width="4.6640625" customWidth="1"/>
    <col min="19" max="19" width="2.1640625" customWidth="1"/>
    <col min="20" max="21" width="1.1640625" customWidth="1"/>
    <col min="22" max="22" width="16.33203125" customWidth="1"/>
    <col min="23" max="23" width="10.5" customWidth="1"/>
  </cols>
  <sheetData>
    <row r="5" spans="1:11" x14ac:dyDescent="0.2">
      <c r="A5" s="196"/>
      <c r="B5" s="196"/>
      <c r="C5" s="196"/>
      <c r="D5" s="196"/>
      <c r="E5" s="196"/>
      <c r="F5" s="196"/>
      <c r="G5" s="196"/>
    </row>
    <row r="6" spans="1:11" x14ac:dyDescent="0.2">
      <c r="A6" s="196"/>
      <c r="B6" s="196"/>
      <c r="C6" s="196"/>
      <c r="D6" s="196"/>
      <c r="E6" s="196"/>
      <c r="F6" s="196"/>
      <c r="G6" s="196"/>
    </row>
    <row r="8" spans="1:11" ht="25.5" x14ac:dyDescent="0.2">
      <c r="A8" s="181" t="s">
        <v>118</v>
      </c>
      <c r="B8" s="182" t="s">
        <v>111</v>
      </c>
      <c r="C8" s="183" t="s">
        <v>119</v>
      </c>
      <c r="D8" s="183"/>
      <c r="E8" s="183" t="s">
        <v>120</v>
      </c>
      <c r="F8" s="183" t="s">
        <v>211</v>
      </c>
      <c r="G8" s="183" t="s">
        <v>212</v>
      </c>
      <c r="H8" s="39"/>
      <c r="I8" s="39"/>
      <c r="J8" s="39"/>
      <c r="K8" s="39"/>
    </row>
    <row r="9" spans="1:11" ht="15.75" x14ac:dyDescent="0.2">
      <c r="A9" s="184" t="str">
        <f>arqeng!C5</f>
        <v>Arquiteto ou Engenheiro</v>
      </c>
      <c r="B9" s="185">
        <v>5</v>
      </c>
      <c r="C9" s="200">
        <f>ROUND((arqeng!D140),2)</f>
        <v>24866.77</v>
      </c>
      <c r="D9" s="200"/>
      <c r="E9" s="186">
        <f>C9*B9</f>
        <v>124333.85</v>
      </c>
      <c r="F9" s="186">
        <f>ROUND(E9*12,2)</f>
        <v>1492006.2</v>
      </c>
      <c r="G9" s="187">
        <f>F9*2</f>
        <v>2984012.4</v>
      </c>
      <c r="H9" s="39"/>
      <c r="I9" s="39"/>
      <c r="J9" s="39"/>
      <c r="K9" s="39"/>
    </row>
    <row r="10" spans="1:11" ht="15.75" x14ac:dyDescent="0.2">
      <c r="A10" s="184" t="str">
        <f>engmec!C5</f>
        <v>Engenheiro Mecânico</v>
      </c>
      <c r="B10" s="185">
        <v>1</v>
      </c>
      <c r="C10" s="188">
        <f>ROUND((engmec!D140),2)</f>
        <v>24866.77</v>
      </c>
      <c r="D10" s="188"/>
      <c r="E10" s="186">
        <f t="shared" ref="E10:E11" si="0">C10*B10</f>
        <v>24866.77</v>
      </c>
      <c r="F10" s="186">
        <f t="shared" ref="F10:F11" si="1">ROUND(E10*12,2)</f>
        <v>298401.24</v>
      </c>
      <c r="G10" s="187">
        <f t="shared" ref="G10:G11" si="2">F10*2</f>
        <v>596802.48</v>
      </c>
      <c r="H10" s="39"/>
      <c r="I10" s="39"/>
      <c r="J10" s="39"/>
      <c r="K10" s="39"/>
    </row>
    <row r="11" spans="1:11" ht="15.75" x14ac:dyDescent="0.2">
      <c r="A11" s="184" t="str">
        <f>engeletr!C5</f>
        <v>Engenheiro Eletricista</v>
      </c>
      <c r="B11" s="185">
        <v>2</v>
      </c>
      <c r="C11" s="188">
        <f>ROUND((engeletr!D140),2)</f>
        <v>24866.77</v>
      </c>
      <c r="D11" s="188"/>
      <c r="E11" s="186">
        <f t="shared" si="0"/>
        <v>49733.54</v>
      </c>
      <c r="F11" s="186">
        <f t="shared" si="1"/>
        <v>596802.48</v>
      </c>
      <c r="G11" s="187">
        <f t="shared" si="2"/>
        <v>1193604.96</v>
      </c>
      <c r="H11" s="39"/>
      <c r="I11" s="39"/>
      <c r="J11" s="39"/>
      <c r="K11" s="39"/>
    </row>
    <row r="12" spans="1:11" ht="15.75" x14ac:dyDescent="0.2">
      <c r="A12" s="184" t="s">
        <v>121</v>
      </c>
      <c r="B12" s="185">
        <v>200</v>
      </c>
      <c r="C12" s="201">
        <f>ROUND((148.26*(1+arqeng!$C$127)),2)</f>
        <v>187.16</v>
      </c>
      <c r="D12" s="201"/>
      <c r="E12" s="189"/>
      <c r="F12" s="186">
        <f>ROUND(B12*C12,2)</f>
        <v>37432</v>
      </c>
      <c r="G12" s="187">
        <f>F12*2</f>
        <v>74864</v>
      </c>
      <c r="H12" s="39"/>
      <c r="I12" s="39"/>
      <c r="J12" s="39"/>
      <c r="K12" s="39"/>
    </row>
    <row r="13" spans="1:11" x14ac:dyDescent="0.2">
      <c r="A13" s="184" t="s">
        <v>122</v>
      </c>
      <c r="B13" s="185">
        <v>1000</v>
      </c>
      <c r="C13" s="201">
        <f>ROUND((108.17*(1+arqeng!$C$127)),2)</f>
        <v>136.55000000000001</v>
      </c>
      <c r="D13" s="201"/>
      <c r="E13" s="189"/>
      <c r="F13" s="186">
        <f t="shared" ref="F13:F14" si="3">ROUND(B13*C13,2)</f>
        <v>136550</v>
      </c>
      <c r="G13" s="187">
        <f>F13*2</f>
        <v>273100</v>
      </c>
    </row>
    <row r="14" spans="1:11" x14ac:dyDescent="0.2">
      <c r="A14" s="184" t="s">
        <v>0</v>
      </c>
      <c r="B14" s="185">
        <v>300</v>
      </c>
      <c r="C14" s="201">
        <f>ROUND((DESLOC.MÉDIO!B11),2)</f>
        <v>658.37</v>
      </c>
      <c r="D14" s="201"/>
      <c r="E14" s="189"/>
      <c r="F14" s="186">
        <f t="shared" si="3"/>
        <v>197511</v>
      </c>
      <c r="G14" s="187">
        <f>F14*2</f>
        <v>395022</v>
      </c>
      <c r="J14" s="40"/>
    </row>
    <row r="15" spans="1:11" x14ac:dyDescent="0.2">
      <c r="A15" s="184" t="s">
        <v>1</v>
      </c>
      <c r="B15" s="190"/>
      <c r="C15" s="202"/>
      <c r="D15" s="202"/>
      <c r="E15" s="189"/>
      <c r="F15" s="186">
        <f>'Hora extra'!G9</f>
        <v>165590.40000000002</v>
      </c>
      <c r="G15" s="187">
        <f>F15*2</f>
        <v>331180.80000000005</v>
      </c>
    </row>
    <row r="16" spans="1:11" x14ac:dyDescent="0.2">
      <c r="A16" s="184" t="s">
        <v>213</v>
      </c>
      <c r="B16" s="190"/>
      <c r="C16" s="202"/>
      <c r="D16" s="202"/>
      <c r="E16" s="189"/>
      <c r="F16" s="186">
        <f>ROUND((10996.46)*(1+arqeng!C127),2)</f>
        <v>13881.99</v>
      </c>
      <c r="G16" s="187">
        <f>F16*2</f>
        <v>27763.98</v>
      </c>
    </row>
    <row r="17" spans="1:10" x14ac:dyDescent="0.2">
      <c r="A17" s="197" t="s">
        <v>123</v>
      </c>
      <c r="B17" s="197"/>
      <c r="C17" s="191"/>
      <c r="D17" s="192"/>
      <c r="E17" s="193">
        <f>SUM(E9:E16)</f>
        <v>198934.16</v>
      </c>
      <c r="F17" s="193">
        <f>SUM(F9:F16)</f>
        <v>2938175.31</v>
      </c>
      <c r="G17" s="194">
        <f>SUM(G9:G16)</f>
        <v>5876350.6200000001</v>
      </c>
      <c r="J17" s="145"/>
    </row>
    <row r="18" spans="1:10" x14ac:dyDescent="0.2">
      <c r="A18" s="198"/>
      <c r="B18" s="198"/>
      <c r="C18" s="198"/>
      <c r="D18" s="198"/>
      <c r="E18" s="198"/>
      <c r="F18" s="177"/>
      <c r="G18" s="199"/>
      <c r="J18" s="145"/>
    </row>
    <row r="19" spans="1:10" x14ac:dyDescent="0.2">
      <c r="A19" s="198"/>
      <c r="B19" s="198"/>
      <c r="C19" s="198"/>
      <c r="D19" s="198"/>
      <c r="E19" s="198"/>
      <c r="F19" s="177"/>
      <c r="G19" s="199"/>
    </row>
    <row r="20" spans="1:10" x14ac:dyDescent="0.2">
      <c r="A20" s="198"/>
      <c r="B20" s="198"/>
      <c r="C20" s="198"/>
      <c r="D20" s="198"/>
      <c r="E20" s="198"/>
      <c r="F20" s="177"/>
      <c r="G20" s="199"/>
      <c r="J20" s="145"/>
    </row>
  </sheetData>
  <mergeCells count="12">
    <mergeCell ref="A5:G5"/>
    <mergeCell ref="A6:G6"/>
    <mergeCell ref="A17:B17"/>
    <mergeCell ref="A18:A20"/>
    <mergeCell ref="B18:E20"/>
    <mergeCell ref="G18:G20"/>
    <mergeCell ref="C9:D9"/>
    <mergeCell ref="C12:D12"/>
    <mergeCell ref="C13:D13"/>
    <mergeCell ref="C14:D14"/>
    <mergeCell ref="C15:D15"/>
    <mergeCell ref="C16:D16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fitToHeight="0" orientation="landscape" r:id="rId1"/>
  <headerFooter>
    <oddFooter>&amp;L&amp;"Times New Roman,Negrito"Estimativa em &amp;D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4"/>
  <sheetViews>
    <sheetView zoomScaleNormal="100" workbookViewId="0">
      <selection activeCell="F8" sqref="F8"/>
    </sheetView>
  </sheetViews>
  <sheetFormatPr defaultColWidth="8.6640625" defaultRowHeight="12.75" x14ac:dyDescent="0.2"/>
  <cols>
    <col min="1" max="1" width="18.33203125" style="41" customWidth="1"/>
    <col min="2" max="2" width="9.6640625" style="41" customWidth="1"/>
    <col min="3" max="3" width="9.5" style="41" customWidth="1"/>
    <col min="4" max="4" width="9.5" style="42" customWidth="1"/>
    <col min="5" max="5" width="9.6640625" style="43" customWidth="1"/>
    <col min="6" max="6" width="10" style="44" customWidth="1"/>
    <col min="7" max="7" width="10.1640625" style="45" customWidth="1"/>
    <col min="8" max="8" width="9.5" style="45" customWidth="1"/>
    <col min="9" max="9" width="9.83203125" style="45" customWidth="1"/>
    <col min="10" max="10" width="12.5" style="45" customWidth="1"/>
    <col min="11" max="11" width="10.5" style="41" customWidth="1"/>
    <col min="12" max="12" width="10.83203125" style="41" customWidth="1"/>
    <col min="13" max="13" width="12.33203125" style="41" customWidth="1"/>
    <col min="14" max="14" width="10.83203125" style="46" customWidth="1"/>
    <col min="15" max="15" width="14.1640625" style="47" customWidth="1"/>
    <col min="16" max="16" width="6.1640625" style="48" customWidth="1"/>
    <col min="17" max="17" width="16.83203125" style="49" customWidth="1"/>
    <col min="18" max="1024" width="8.6640625" style="41"/>
  </cols>
  <sheetData>
    <row r="1" spans="1:17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51"/>
    </row>
    <row r="2" spans="1:17" x14ac:dyDescent="0.2">
      <c r="A2" s="224" t="s">
        <v>163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51"/>
    </row>
    <row r="3" spans="1:17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7" s="54" customFormat="1" ht="11.25" x14ac:dyDescent="0.2">
      <c r="A4" s="126" t="s">
        <v>161</v>
      </c>
      <c r="B4" s="52"/>
      <c r="C4" s="52"/>
      <c r="D4" s="52"/>
      <c r="E4" s="52"/>
      <c r="F4" s="52"/>
      <c r="G4" s="53"/>
      <c r="H4" s="53"/>
      <c r="I4" s="53"/>
      <c r="J4" s="53"/>
      <c r="N4" s="46"/>
      <c r="O4" s="46"/>
      <c r="P4" s="55"/>
      <c r="Q4" s="56"/>
    </row>
    <row r="5" spans="1:17" x14ac:dyDescent="0.2">
      <c r="A5" s="127" t="s">
        <v>127</v>
      </c>
      <c r="B5" s="128"/>
      <c r="C5" s="128"/>
      <c r="D5" s="128"/>
      <c r="E5" s="129"/>
      <c r="F5" s="57">
        <v>80</v>
      </c>
    </row>
    <row r="6" spans="1:17" x14ac:dyDescent="0.2">
      <c r="A6" s="127" t="s">
        <v>128</v>
      </c>
      <c r="B6" s="128"/>
      <c r="C6" s="128"/>
      <c r="D6" s="128"/>
      <c r="E6" s="129"/>
      <c r="F6" s="57">
        <v>4</v>
      </c>
    </row>
    <row r="7" spans="1:17" x14ac:dyDescent="0.2">
      <c r="A7" s="127" t="s">
        <v>129</v>
      </c>
      <c r="B7" s="128"/>
      <c r="C7" s="128"/>
      <c r="D7" s="128"/>
      <c r="E7" s="129"/>
      <c r="F7" s="57">
        <f>'Valor médio de diárias de carro'!B14</f>
        <v>90</v>
      </c>
    </row>
    <row r="8" spans="1:17" x14ac:dyDescent="0.2">
      <c r="A8" s="127" t="s">
        <v>130</v>
      </c>
      <c r="B8" s="128"/>
      <c r="C8" s="128"/>
      <c r="D8" s="128"/>
      <c r="E8" s="129"/>
      <c r="F8" s="58" t="s">
        <v>131</v>
      </c>
    </row>
    <row r="9" spans="1:17" x14ac:dyDescent="0.2">
      <c r="A9" s="127" t="s">
        <v>132</v>
      </c>
      <c r="B9" s="128"/>
      <c r="C9" s="128"/>
      <c r="D9" s="128"/>
      <c r="E9" s="129"/>
      <c r="F9" s="59">
        <f>'Valor médio gasolina comum'!C24</f>
        <v>7.2140000000000004</v>
      </c>
    </row>
    <row r="10" spans="1:17" x14ac:dyDescent="0.2">
      <c r="A10" s="127" t="s">
        <v>133</v>
      </c>
      <c r="B10" s="128"/>
      <c r="C10" s="128"/>
      <c r="D10" s="128"/>
      <c r="E10" s="129"/>
      <c r="F10" s="57">
        <v>10</v>
      </c>
    </row>
    <row r="11" spans="1:17" x14ac:dyDescent="0.2">
      <c r="A11" s="127" t="s">
        <v>134</v>
      </c>
      <c r="B11" s="128"/>
      <c r="C11" s="128"/>
      <c r="D11" s="128"/>
      <c r="E11" s="129"/>
      <c r="F11" s="60">
        <f>'Valor diarias de hotel e alimen'!C13</f>
        <v>200</v>
      </c>
    </row>
    <row r="12" spans="1:17" s="54" customFormat="1" ht="11.25" x14ac:dyDescent="0.2">
      <c r="G12" s="53"/>
      <c r="H12" s="53"/>
      <c r="I12" s="53"/>
      <c r="J12" s="53"/>
      <c r="N12" s="46"/>
      <c r="O12" s="46"/>
      <c r="P12" s="55"/>
      <c r="Q12" s="56"/>
    </row>
    <row r="14" spans="1:17" x14ac:dyDescent="0.2">
      <c r="A14" s="62"/>
      <c r="B14" s="62"/>
      <c r="C14" s="62"/>
    </row>
    <row r="15" spans="1:17" x14ac:dyDescent="0.2">
      <c r="A15" s="62"/>
      <c r="B15" s="62"/>
      <c r="C15" s="62"/>
    </row>
    <row r="16" spans="1:17" s="73" customFormat="1" ht="112.5" x14ac:dyDescent="0.2">
      <c r="A16" s="63" t="s">
        <v>135</v>
      </c>
      <c r="B16" s="121" t="s">
        <v>158</v>
      </c>
      <c r="C16" s="64" t="s">
        <v>137</v>
      </c>
      <c r="D16" s="65" t="s">
        <v>138</v>
      </c>
      <c r="E16" s="122" t="s">
        <v>164</v>
      </c>
      <c r="F16" s="67" t="s">
        <v>140</v>
      </c>
      <c r="G16" s="68" t="s">
        <v>141</v>
      </c>
      <c r="H16" s="68" t="s">
        <v>142</v>
      </c>
      <c r="I16" s="68" t="s">
        <v>143</v>
      </c>
      <c r="J16" s="64" t="s">
        <v>144</v>
      </c>
      <c r="K16" s="64" t="s">
        <v>145</v>
      </c>
      <c r="L16" s="64" t="s">
        <v>146</v>
      </c>
      <c r="M16" s="64" t="s">
        <v>147</v>
      </c>
      <c r="N16" s="69" t="s">
        <v>148</v>
      </c>
      <c r="O16" s="70" t="s">
        <v>149</v>
      </c>
      <c r="P16" s="71"/>
      <c r="Q16" s="72" t="s">
        <v>150</v>
      </c>
    </row>
    <row r="17" spans="1:18" s="83" customFormat="1" ht="11.25" x14ac:dyDescent="0.2">
      <c r="A17" s="74" t="s">
        <v>151</v>
      </c>
      <c r="B17" s="75" t="s">
        <v>151</v>
      </c>
      <c r="C17" s="75" t="s">
        <v>152</v>
      </c>
      <c r="D17" s="76" t="s">
        <v>153</v>
      </c>
      <c r="E17" s="77" t="s">
        <v>153</v>
      </c>
      <c r="F17" s="78" t="s">
        <v>153</v>
      </c>
      <c r="G17" s="76" t="s">
        <v>154</v>
      </c>
      <c r="H17" s="76" t="s">
        <v>155</v>
      </c>
      <c r="I17" s="75" t="s">
        <v>155</v>
      </c>
      <c r="J17" s="75" t="s">
        <v>156</v>
      </c>
      <c r="K17" s="75" t="s">
        <v>156</v>
      </c>
      <c r="L17" s="75" t="s">
        <v>156</v>
      </c>
      <c r="M17" s="75" t="s">
        <v>156</v>
      </c>
      <c r="N17" s="79">
        <f>arqeng!C127</f>
        <v>0.26240558292282423</v>
      </c>
      <c r="O17" s="80" t="s">
        <v>156</v>
      </c>
      <c r="P17" s="81"/>
      <c r="Q17" s="82"/>
    </row>
    <row r="18" spans="1:18" s="73" customFormat="1" ht="11.25" x14ac:dyDescent="0.2">
      <c r="A18" s="84">
        <v>300</v>
      </c>
      <c r="B18" s="124">
        <v>80</v>
      </c>
      <c r="C18" s="86">
        <f t="shared" ref="C18:C40" si="0">((A18+B18)/10)</f>
        <v>38</v>
      </c>
      <c r="D18" s="87">
        <f t="shared" ref="D18:D40" si="1">((A18+B18)/80)</f>
        <v>4.75</v>
      </c>
      <c r="E18" s="125">
        <v>16</v>
      </c>
      <c r="F18" s="89">
        <f t="shared" ref="F18:F40" si="2">D18+E18</f>
        <v>20.75</v>
      </c>
      <c r="G18" s="90">
        <f t="shared" ref="G18:G40" si="3">F18/9</f>
        <v>2.3055555555555554</v>
      </c>
      <c r="H18" s="123">
        <f t="shared" ref="H18:H40" si="4">ROUNDUP(G18,0)</f>
        <v>3</v>
      </c>
      <c r="I18" s="92">
        <f t="shared" ref="I18:I40" si="5">H18-0.5</f>
        <v>2.5</v>
      </c>
      <c r="J18" s="93">
        <f t="shared" ref="J18:J40" si="6">C18*$F$9</f>
        <v>274.13200000000001</v>
      </c>
      <c r="K18" s="95">
        <f t="shared" ref="K18:K40" si="7">H18*$F$7</f>
        <v>270</v>
      </c>
      <c r="L18" s="94">
        <f t="shared" ref="L18:L40" si="8">(I18*$F$11)*1</f>
        <v>500</v>
      </c>
      <c r="M18" s="95">
        <f t="shared" ref="M18:M40" si="9">J18+K18+L18</f>
        <v>1044.1320000000001</v>
      </c>
      <c r="N18" s="93">
        <f t="shared" ref="N18:N40" si="10">M18*$N$17</f>
        <v>273.9860661083743</v>
      </c>
      <c r="O18" s="96">
        <f t="shared" ref="O18:O40" si="11">M18+N18</f>
        <v>1318.1180661083745</v>
      </c>
      <c r="P18" s="71">
        <v>1</v>
      </c>
      <c r="Q18" s="97">
        <f t="shared" ref="Q18:Q40" si="12">O18/H18</f>
        <v>439.37268870279149</v>
      </c>
      <c r="R18" s="99"/>
    </row>
    <row r="19" spans="1:18" s="73" customFormat="1" ht="11.25" x14ac:dyDescent="0.2">
      <c r="A19" s="84">
        <v>400</v>
      </c>
      <c r="B19" s="124">
        <v>80</v>
      </c>
      <c r="C19" s="86">
        <f t="shared" si="0"/>
        <v>48</v>
      </c>
      <c r="D19" s="87">
        <f t="shared" si="1"/>
        <v>6</v>
      </c>
      <c r="E19" s="125">
        <v>16</v>
      </c>
      <c r="F19" s="89">
        <f t="shared" si="2"/>
        <v>22</v>
      </c>
      <c r="G19" s="90">
        <f t="shared" si="3"/>
        <v>2.4444444444444446</v>
      </c>
      <c r="H19" s="123">
        <f t="shared" si="4"/>
        <v>3</v>
      </c>
      <c r="I19" s="92">
        <f t="shared" si="5"/>
        <v>2.5</v>
      </c>
      <c r="J19" s="93">
        <f t="shared" si="6"/>
        <v>346.27200000000005</v>
      </c>
      <c r="K19" s="95">
        <f t="shared" si="7"/>
        <v>270</v>
      </c>
      <c r="L19" s="94">
        <f t="shared" si="8"/>
        <v>500</v>
      </c>
      <c r="M19" s="95">
        <f t="shared" si="9"/>
        <v>1116.2719999999999</v>
      </c>
      <c r="N19" s="93">
        <f t="shared" si="10"/>
        <v>292.91600486042682</v>
      </c>
      <c r="O19" s="96">
        <f t="shared" si="11"/>
        <v>1409.1880048604266</v>
      </c>
      <c r="P19" s="71">
        <v>2</v>
      </c>
      <c r="Q19" s="97">
        <f t="shared" si="12"/>
        <v>469.72933495347553</v>
      </c>
      <c r="R19" s="98"/>
    </row>
    <row r="20" spans="1:18" s="73" customFormat="1" ht="11.25" x14ac:dyDescent="0.2">
      <c r="A20" s="84">
        <v>500</v>
      </c>
      <c r="B20" s="124">
        <v>80</v>
      </c>
      <c r="C20" s="86">
        <f t="shared" si="0"/>
        <v>58</v>
      </c>
      <c r="D20" s="87">
        <f t="shared" si="1"/>
        <v>7.25</v>
      </c>
      <c r="E20" s="125">
        <v>16</v>
      </c>
      <c r="F20" s="89">
        <f t="shared" si="2"/>
        <v>23.25</v>
      </c>
      <c r="G20" s="90">
        <f t="shared" si="3"/>
        <v>2.5833333333333335</v>
      </c>
      <c r="H20" s="123">
        <f t="shared" si="4"/>
        <v>3</v>
      </c>
      <c r="I20" s="92">
        <f t="shared" si="5"/>
        <v>2.5</v>
      </c>
      <c r="J20" s="93">
        <f t="shared" si="6"/>
        <v>418.41200000000003</v>
      </c>
      <c r="K20" s="95">
        <f t="shared" si="7"/>
        <v>270</v>
      </c>
      <c r="L20" s="94">
        <f t="shared" si="8"/>
        <v>500</v>
      </c>
      <c r="M20" s="95">
        <f t="shared" si="9"/>
        <v>1188.412</v>
      </c>
      <c r="N20" s="93">
        <f t="shared" si="10"/>
        <v>311.8459436124794</v>
      </c>
      <c r="O20" s="96">
        <f t="shared" si="11"/>
        <v>1500.2579436124795</v>
      </c>
      <c r="P20" s="71">
        <v>3</v>
      </c>
      <c r="Q20" s="97">
        <f t="shared" si="12"/>
        <v>500.08598120415985</v>
      </c>
      <c r="R20" s="98"/>
    </row>
    <row r="21" spans="1:18" s="73" customFormat="1" ht="11.25" x14ac:dyDescent="0.2">
      <c r="A21" s="84">
        <v>600</v>
      </c>
      <c r="B21" s="124">
        <v>80</v>
      </c>
      <c r="C21" s="86">
        <f t="shared" si="0"/>
        <v>68</v>
      </c>
      <c r="D21" s="87">
        <f t="shared" si="1"/>
        <v>8.5</v>
      </c>
      <c r="E21" s="125">
        <v>16</v>
      </c>
      <c r="F21" s="89">
        <f t="shared" si="2"/>
        <v>24.5</v>
      </c>
      <c r="G21" s="90">
        <f t="shared" si="3"/>
        <v>2.7222222222222223</v>
      </c>
      <c r="H21" s="123">
        <f t="shared" si="4"/>
        <v>3</v>
      </c>
      <c r="I21" s="92">
        <f t="shared" si="5"/>
        <v>2.5</v>
      </c>
      <c r="J21" s="93">
        <f t="shared" si="6"/>
        <v>490.55200000000002</v>
      </c>
      <c r="K21" s="95">
        <f t="shared" si="7"/>
        <v>270</v>
      </c>
      <c r="L21" s="94">
        <f t="shared" si="8"/>
        <v>500</v>
      </c>
      <c r="M21" s="95">
        <f t="shared" si="9"/>
        <v>1260.5520000000001</v>
      </c>
      <c r="N21" s="93">
        <f t="shared" si="10"/>
        <v>330.77588236453198</v>
      </c>
      <c r="O21" s="96">
        <f t="shared" si="11"/>
        <v>1591.3278823645321</v>
      </c>
      <c r="P21" s="71">
        <v>4</v>
      </c>
      <c r="Q21" s="97">
        <f t="shared" si="12"/>
        <v>530.442627454844</v>
      </c>
      <c r="R21" s="98"/>
    </row>
    <row r="22" spans="1:18" s="73" customFormat="1" ht="11.25" x14ac:dyDescent="0.2">
      <c r="A22" s="84">
        <v>700</v>
      </c>
      <c r="B22" s="124">
        <v>80</v>
      </c>
      <c r="C22" s="86">
        <f t="shared" si="0"/>
        <v>78</v>
      </c>
      <c r="D22" s="87">
        <f t="shared" si="1"/>
        <v>9.75</v>
      </c>
      <c r="E22" s="125">
        <v>16</v>
      </c>
      <c r="F22" s="89">
        <f t="shared" si="2"/>
        <v>25.75</v>
      </c>
      <c r="G22" s="90">
        <f t="shared" si="3"/>
        <v>2.8611111111111112</v>
      </c>
      <c r="H22" s="123">
        <f t="shared" si="4"/>
        <v>3</v>
      </c>
      <c r="I22" s="92">
        <f t="shared" si="5"/>
        <v>2.5</v>
      </c>
      <c r="J22" s="93">
        <f t="shared" si="6"/>
        <v>562.69200000000001</v>
      </c>
      <c r="K22" s="95">
        <f t="shared" si="7"/>
        <v>270</v>
      </c>
      <c r="L22" s="94">
        <f t="shared" si="8"/>
        <v>500</v>
      </c>
      <c r="M22" s="95">
        <f t="shared" si="9"/>
        <v>1332.692</v>
      </c>
      <c r="N22" s="93">
        <f t="shared" si="10"/>
        <v>349.70582111658445</v>
      </c>
      <c r="O22" s="96">
        <f t="shared" si="11"/>
        <v>1682.3978211165845</v>
      </c>
      <c r="P22" s="71">
        <v>5</v>
      </c>
      <c r="Q22" s="97">
        <f t="shared" si="12"/>
        <v>560.79927370552821</v>
      </c>
      <c r="R22" s="98"/>
    </row>
    <row r="23" spans="1:18" s="73" customFormat="1" ht="11.25" x14ac:dyDescent="0.2">
      <c r="A23" s="84">
        <v>800</v>
      </c>
      <c r="B23" s="124">
        <v>80</v>
      </c>
      <c r="C23" s="86">
        <f t="shared" si="0"/>
        <v>88</v>
      </c>
      <c r="D23" s="87">
        <f t="shared" si="1"/>
        <v>11</v>
      </c>
      <c r="E23" s="125">
        <v>16</v>
      </c>
      <c r="F23" s="89">
        <f t="shared" si="2"/>
        <v>27</v>
      </c>
      <c r="G23" s="90">
        <f t="shared" si="3"/>
        <v>3</v>
      </c>
      <c r="H23" s="123">
        <f t="shared" si="4"/>
        <v>3</v>
      </c>
      <c r="I23" s="92">
        <f t="shared" si="5"/>
        <v>2.5</v>
      </c>
      <c r="J23" s="93">
        <f t="shared" si="6"/>
        <v>634.83199999999999</v>
      </c>
      <c r="K23" s="95">
        <f t="shared" si="7"/>
        <v>270</v>
      </c>
      <c r="L23" s="94">
        <f t="shared" si="8"/>
        <v>500</v>
      </c>
      <c r="M23" s="95">
        <f t="shared" si="9"/>
        <v>1404.8319999999999</v>
      </c>
      <c r="N23" s="93">
        <f t="shared" si="10"/>
        <v>368.63575986863697</v>
      </c>
      <c r="O23" s="96">
        <f t="shared" si="11"/>
        <v>1773.4677598686369</v>
      </c>
      <c r="P23" s="71">
        <v>6</v>
      </c>
      <c r="Q23" s="97">
        <f t="shared" si="12"/>
        <v>591.1559199562123</v>
      </c>
      <c r="R23" s="98"/>
    </row>
    <row r="24" spans="1:18" s="73" customFormat="1" ht="11.25" x14ac:dyDescent="0.2">
      <c r="A24" s="84">
        <v>900</v>
      </c>
      <c r="B24" s="124">
        <v>80</v>
      </c>
      <c r="C24" s="86">
        <f t="shared" si="0"/>
        <v>98</v>
      </c>
      <c r="D24" s="87">
        <f t="shared" si="1"/>
        <v>12.25</v>
      </c>
      <c r="E24" s="125">
        <v>16</v>
      </c>
      <c r="F24" s="89">
        <f t="shared" si="2"/>
        <v>28.25</v>
      </c>
      <c r="G24" s="90">
        <f t="shared" si="3"/>
        <v>3.1388888888888888</v>
      </c>
      <c r="H24" s="123">
        <f t="shared" si="4"/>
        <v>4</v>
      </c>
      <c r="I24" s="92">
        <f t="shared" si="5"/>
        <v>3.5</v>
      </c>
      <c r="J24" s="93">
        <f t="shared" si="6"/>
        <v>706.97200000000009</v>
      </c>
      <c r="K24" s="95">
        <f t="shared" si="7"/>
        <v>360</v>
      </c>
      <c r="L24" s="94">
        <f t="shared" si="8"/>
        <v>700</v>
      </c>
      <c r="M24" s="95">
        <f t="shared" si="9"/>
        <v>1766.9720000000002</v>
      </c>
      <c r="N24" s="93">
        <f t="shared" si="10"/>
        <v>463.66331766830865</v>
      </c>
      <c r="O24" s="96">
        <f t="shared" si="11"/>
        <v>2230.6353176683087</v>
      </c>
      <c r="P24" s="71">
        <v>7</v>
      </c>
      <c r="Q24" s="97">
        <f t="shared" si="12"/>
        <v>557.65882941707719</v>
      </c>
      <c r="R24" s="98"/>
    </row>
    <row r="25" spans="1:18" s="73" customFormat="1" ht="11.25" x14ac:dyDescent="0.2">
      <c r="A25" s="84">
        <v>1000</v>
      </c>
      <c r="B25" s="124">
        <v>80</v>
      </c>
      <c r="C25" s="86">
        <f t="shared" si="0"/>
        <v>108</v>
      </c>
      <c r="D25" s="87">
        <f t="shared" si="1"/>
        <v>13.5</v>
      </c>
      <c r="E25" s="125">
        <v>16</v>
      </c>
      <c r="F25" s="89">
        <f t="shared" si="2"/>
        <v>29.5</v>
      </c>
      <c r="G25" s="90">
        <f t="shared" si="3"/>
        <v>3.2777777777777777</v>
      </c>
      <c r="H25" s="123">
        <f t="shared" si="4"/>
        <v>4</v>
      </c>
      <c r="I25" s="92">
        <f t="shared" si="5"/>
        <v>3.5</v>
      </c>
      <c r="J25" s="93">
        <f t="shared" si="6"/>
        <v>779.11200000000008</v>
      </c>
      <c r="K25" s="95">
        <f t="shared" si="7"/>
        <v>360</v>
      </c>
      <c r="L25" s="94">
        <f t="shared" si="8"/>
        <v>700</v>
      </c>
      <c r="M25" s="95">
        <f t="shared" si="9"/>
        <v>1839.1120000000001</v>
      </c>
      <c r="N25" s="93">
        <f t="shared" si="10"/>
        <v>482.59325642036112</v>
      </c>
      <c r="O25" s="96">
        <f t="shared" si="11"/>
        <v>2321.7052564203614</v>
      </c>
      <c r="P25" s="71">
        <v>8</v>
      </c>
      <c r="Q25" s="97">
        <f t="shared" si="12"/>
        <v>580.42631410509034</v>
      </c>
      <c r="R25" s="98"/>
    </row>
    <row r="26" spans="1:18" s="73" customFormat="1" ht="11.25" x14ac:dyDescent="0.2">
      <c r="A26" s="84">
        <v>1100</v>
      </c>
      <c r="B26" s="124">
        <v>80</v>
      </c>
      <c r="C26" s="86">
        <f t="shared" si="0"/>
        <v>118</v>
      </c>
      <c r="D26" s="87">
        <f t="shared" si="1"/>
        <v>14.75</v>
      </c>
      <c r="E26" s="125">
        <v>16</v>
      </c>
      <c r="F26" s="89">
        <f t="shared" si="2"/>
        <v>30.75</v>
      </c>
      <c r="G26" s="90">
        <f t="shared" si="3"/>
        <v>3.4166666666666665</v>
      </c>
      <c r="H26" s="123">
        <f t="shared" si="4"/>
        <v>4</v>
      </c>
      <c r="I26" s="92">
        <f t="shared" si="5"/>
        <v>3.5</v>
      </c>
      <c r="J26" s="93">
        <f t="shared" si="6"/>
        <v>851.25200000000007</v>
      </c>
      <c r="K26" s="95">
        <f t="shared" si="7"/>
        <v>360</v>
      </c>
      <c r="L26" s="94">
        <f t="shared" si="8"/>
        <v>700</v>
      </c>
      <c r="M26" s="95">
        <f t="shared" si="9"/>
        <v>1911.252</v>
      </c>
      <c r="N26" s="93">
        <f t="shared" si="10"/>
        <v>501.52319517241364</v>
      </c>
      <c r="O26" s="96">
        <f t="shared" si="11"/>
        <v>2412.7751951724135</v>
      </c>
      <c r="P26" s="71">
        <v>9</v>
      </c>
      <c r="Q26" s="97">
        <f t="shared" si="12"/>
        <v>603.19379879310338</v>
      </c>
      <c r="R26" s="98"/>
    </row>
    <row r="27" spans="1:18" s="73" customFormat="1" ht="11.25" x14ac:dyDescent="0.2">
      <c r="A27" s="84">
        <v>1200</v>
      </c>
      <c r="B27" s="124">
        <v>80</v>
      </c>
      <c r="C27" s="86">
        <f t="shared" si="0"/>
        <v>128</v>
      </c>
      <c r="D27" s="87">
        <f t="shared" si="1"/>
        <v>16</v>
      </c>
      <c r="E27" s="125">
        <v>16</v>
      </c>
      <c r="F27" s="89">
        <f t="shared" si="2"/>
        <v>32</v>
      </c>
      <c r="G27" s="90">
        <f t="shared" si="3"/>
        <v>3.5555555555555554</v>
      </c>
      <c r="H27" s="123">
        <f t="shared" si="4"/>
        <v>4</v>
      </c>
      <c r="I27" s="92">
        <f t="shared" si="5"/>
        <v>3.5</v>
      </c>
      <c r="J27" s="93">
        <f t="shared" si="6"/>
        <v>923.39200000000005</v>
      </c>
      <c r="K27" s="95">
        <f t="shared" si="7"/>
        <v>360</v>
      </c>
      <c r="L27" s="94">
        <f t="shared" si="8"/>
        <v>700</v>
      </c>
      <c r="M27" s="95">
        <f t="shared" si="9"/>
        <v>1983.3920000000001</v>
      </c>
      <c r="N27" s="93">
        <f t="shared" si="10"/>
        <v>520.45313392446621</v>
      </c>
      <c r="O27" s="96">
        <f t="shared" si="11"/>
        <v>2503.8451339244662</v>
      </c>
      <c r="P27" s="71">
        <v>10</v>
      </c>
      <c r="Q27" s="97">
        <f t="shared" si="12"/>
        <v>625.96128348111654</v>
      </c>
      <c r="R27" s="98"/>
    </row>
    <row r="28" spans="1:18" s="73" customFormat="1" ht="11.25" x14ac:dyDescent="0.2">
      <c r="A28" s="84">
        <v>1300</v>
      </c>
      <c r="B28" s="124">
        <v>80</v>
      </c>
      <c r="C28" s="86">
        <f t="shared" si="0"/>
        <v>138</v>
      </c>
      <c r="D28" s="87">
        <f t="shared" si="1"/>
        <v>17.25</v>
      </c>
      <c r="E28" s="125">
        <v>16</v>
      </c>
      <c r="F28" s="89">
        <f t="shared" si="2"/>
        <v>33.25</v>
      </c>
      <c r="G28" s="90">
        <f t="shared" si="3"/>
        <v>3.6944444444444446</v>
      </c>
      <c r="H28" s="123">
        <f t="shared" si="4"/>
        <v>4</v>
      </c>
      <c r="I28" s="92">
        <f t="shared" si="5"/>
        <v>3.5</v>
      </c>
      <c r="J28" s="93">
        <f t="shared" si="6"/>
        <v>995.53200000000004</v>
      </c>
      <c r="K28" s="95">
        <f t="shared" si="7"/>
        <v>360</v>
      </c>
      <c r="L28" s="94">
        <f t="shared" si="8"/>
        <v>700</v>
      </c>
      <c r="M28" s="95">
        <f t="shared" si="9"/>
        <v>2055.5320000000002</v>
      </c>
      <c r="N28" s="93">
        <f t="shared" si="10"/>
        <v>539.38307267651874</v>
      </c>
      <c r="O28" s="96">
        <f t="shared" si="11"/>
        <v>2594.9150726765188</v>
      </c>
      <c r="P28" s="71">
        <v>11</v>
      </c>
      <c r="Q28" s="97">
        <f t="shared" si="12"/>
        <v>648.72876816912969</v>
      </c>
      <c r="R28" s="98"/>
    </row>
    <row r="29" spans="1:18" s="73" customFormat="1" ht="11.25" x14ac:dyDescent="0.2">
      <c r="A29" s="84">
        <v>1400</v>
      </c>
      <c r="B29" s="124">
        <v>80</v>
      </c>
      <c r="C29" s="86">
        <f t="shared" si="0"/>
        <v>148</v>
      </c>
      <c r="D29" s="87">
        <f t="shared" si="1"/>
        <v>18.5</v>
      </c>
      <c r="E29" s="125">
        <v>16</v>
      </c>
      <c r="F29" s="89">
        <f t="shared" si="2"/>
        <v>34.5</v>
      </c>
      <c r="G29" s="90">
        <f t="shared" si="3"/>
        <v>3.8333333333333335</v>
      </c>
      <c r="H29" s="123">
        <f t="shared" si="4"/>
        <v>4</v>
      </c>
      <c r="I29" s="92">
        <f t="shared" si="5"/>
        <v>3.5</v>
      </c>
      <c r="J29" s="93">
        <f t="shared" si="6"/>
        <v>1067.672</v>
      </c>
      <c r="K29" s="95">
        <f t="shared" si="7"/>
        <v>360</v>
      </c>
      <c r="L29" s="94">
        <f t="shared" si="8"/>
        <v>700</v>
      </c>
      <c r="M29" s="95">
        <f t="shared" si="9"/>
        <v>2127.672</v>
      </c>
      <c r="N29" s="93">
        <f t="shared" si="10"/>
        <v>558.31301142857126</v>
      </c>
      <c r="O29" s="96">
        <f t="shared" si="11"/>
        <v>2685.9850114285714</v>
      </c>
      <c r="P29" s="71">
        <v>12</v>
      </c>
      <c r="Q29" s="97">
        <f t="shared" si="12"/>
        <v>671.49625285714285</v>
      </c>
      <c r="R29" s="98"/>
    </row>
    <row r="30" spans="1:18" s="73" customFormat="1" ht="11.25" x14ac:dyDescent="0.2">
      <c r="A30" s="84">
        <v>1500</v>
      </c>
      <c r="B30" s="124">
        <v>80</v>
      </c>
      <c r="C30" s="86">
        <f t="shared" si="0"/>
        <v>158</v>
      </c>
      <c r="D30" s="87">
        <f t="shared" si="1"/>
        <v>19.75</v>
      </c>
      <c r="E30" s="125">
        <v>16</v>
      </c>
      <c r="F30" s="89">
        <f t="shared" si="2"/>
        <v>35.75</v>
      </c>
      <c r="G30" s="90">
        <f t="shared" si="3"/>
        <v>3.9722222222222223</v>
      </c>
      <c r="H30" s="123">
        <f t="shared" si="4"/>
        <v>4</v>
      </c>
      <c r="I30" s="92">
        <f t="shared" si="5"/>
        <v>3.5</v>
      </c>
      <c r="J30" s="93">
        <f t="shared" si="6"/>
        <v>1139.8120000000001</v>
      </c>
      <c r="K30" s="95">
        <f t="shared" si="7"/>
        <v>360</v>
      </c>
      <c r="L30" s="94">
        <f t="shared" si="8"/>
        <v>700</v>
      </c>
      <c r="M30" s="95">
        <f t="shared" si="9"/>
        <v>2199.8119999999999</v>
      </c>
      <c r="N30" s="93">
        <f t="shared" si="10"/>
        <v>577.24295018062378</v>
      </c>
      <c r="O30" s="96">
        <f t="shared" si="11"/>
        <v>2777.0549501806236</v>
      </c>
      <c r="P30" s="71">
        <v>13</v>
      </c>
      <c r="Q30" s="97">
        <f t="shared" si="12"/>
        <v>694.26373754515589</v>
      </c>
      <c r="R30" s="98"/>
    </row>
    <row r="31" spans="1:18" s="73" customFormat="1" ht="11.25" x14ac:dyDescent="0.2">
      <c r="A31" s="84">
        <v>1600</v>
      </c>
      <c r="B31" s="124">
        <v>80</v>
      </c>
      <c r="C31" s="86">
        <f t="shared" si="0"/>
        <v>168</v>
      </c>
      <c r="D31" s="87">
        <f t="shared" si="1"/>
        <v>21</v>
      </c>
      <c r="E31" s="125">
        <v>16</v>
      </c>
      <c r="F31" s="89">
        <f t="shared" si="2"/>
        <v>37</v>
      </c>
      <c r="G31" s="90">
        <f t="shared" si="3"/>
        <v>4.1111111111111107</v>
      </c>
      <c r="H31" s="123">
        <f t="shared" si="4"/>
        <v>5</v>
      </c>
      <c r="I31" s="92">
        <f t="shared" si="5"/>
        <v>4.5</v>
      </c>
      <c r="J31" s="93">
        <f t="shared" si="6"/>
        <v>1211.952</v>
      </c>
      <c r="K31" s="95">
        <f t="shared" si="7"/>
        <v>450</v>
      </c>
      <c r="L31" s="94">
        <f t="shared" si="8"/>
        <v>900</v>
      </c>
      <c r="M31" s="95">
        <f t="shared" si="9"/>
        <v>2561.9520000000002</v>
      </c>
      <c r="N31" s="93">
        <f t="shared" si="10"/>
        <v>672.27050798029541</v>
      </c>
      <c r="O31" s="96">
        <f t="shared" si="11"/>
        <v>3234.2225079802956</v>
      </c>
      <c r="P31" s="71">
        <v>14</v>
      </c>
      <c r="Q31" s="97">
        <f t="shared" si="12"/>
        <v>646.8445015960591</v>
      </c>
      <c r="R31" s="98"/>
    </row>
    <row r="32" spans="1:18" s="73" customFormat="1" ht="11.25" x14ac:dyDescent="0.2">
      <c r="A32" s="84">
        <v>1700</v>
      </c>
      <c r="B32" s="124">
        <v>80</v>
      </c>
      <c r="C32" s="86">
        <f t="shared" si="0"/>
        <v>178</v>
      </c>
      <c r="D32" s="87">
        <f t="shared" si="1"/>
        <v>22.25</v>
      </c>
      <c r="E32" s="125">
        <v>16</v>
      </c>
      <c r="F32" s="89">
        <f t="shared" si="2"/>
        <v>38.25</v>
      </c>
      <c r="G32" s="90">
        <f t="shared" si="3"/>
        <v>4.25</v>
      </c>
      <c r="H32" s="123">
        <f t="shared" si="4"/>
        <v>5</v>
      </c>
      <c r="I32" s="92">
        <f t="shared" si="5"/>
        <v>4.5</v>
      </c>
      <c r="J32" s="93">
        <f t="shared" si="6"/>
        <v>1284.0920000000001</v>
      </c>
      <c r="K32" s="95">
        <f t="shared" si="7"/>
        <v>450</v>
      </c>
      <c r="L32" s="94">
        <f t="shared" si="8"/>
        <v>900</v>
      </c>
      <c r="M32" s="95">
        <f t="shared" si="9"/>
        <v>2634.0920000000001</v>
      </c>
      <c r="N32" s="93">
        <f t="shared" si="10"/>
        <v>691.20044673234793</v>
      </c>
      <c r="O32" s="96">
        <f t="shared" si="11"/>
        <v>3325.2924467323483</v>
      </c>
      <c r="P32" s="71">
        <v>15</v>
      </c>
      <c r="Q32" s="97">
        <f t="shared" si="12"/>
        <v>665.05848934646963</v>
      </c>
      <c r="R32" s="98"/>
    </row>
    <row r="33" spans="1:18" s="73" customFormat="1" ht="11.25" x14ac:dyDescent="0.2">
      <c r="A33" s="84">
        <v>1800</v>
      </c>
      <c r="B33" s="124">
        <v>80</v>
      </c>
      <c r="C33" s="86">
        <f t="shared" si="0"/>
        <v>188</v>
      </c>
      <c r="D33" s="87">
        <f t="shared" si="1"/>
        <v>23.5</v>
      </c>
      <c r="E33" s="125">
        <v>16</v>
      </c>
      <c r="F33" s="89">
        <f t="shared" si="2"/>
        <v>39.5</v>
      </c>
      <c r="G33" s="90">
        <f t="shared" si="3"/>
        <v>4.3888888888888893</v>
      </c>
      <c r="H33" s="123">
        <f t="shared" si="4"/>
        <v>5</v>
      </c>
      <c r="I33" s="92">
        <f t="shared" si="5"/>
        <v>4.5</v>
      </c>
      <c r="J33" s="93">
        <f t="shared" si="6"/>
        <v>1356.232</v>
      </c>
      <c r="K33" s="95">
        <f t="shared" si="7"/>
        <v>450</v>
      </c>
      <c r="L33" s="94">
        <f t="shared" si="8"/>
        <v>900</v>
      </c>
      <c r="M33" s="95">
        <f t="shared" si="9"/>
        <v>2706.232</v>
      </c>
      <c r="N33" s="93">
        <f t="shared" si="10"/>
        <v>710.13038548440045</v>
      </c>
      <c r="O33" s="96">
        <f t="shared" si="11"/>
        <v>3416.3623854844004</v>
      </c>
      <c r="P33" s="71">
        <v>16</v>
      </c>
      <c r="Q33" s="97">
        <f t="shared" si="12"/>
        <v>683.27247709688004</v>
      </c>
      <c r="R33" s="98"/>
    </row>
    <row r="34" spans="1:18" s="73" customFormat="1" ht="11.25" x14ac:dyDescent="0.2">
      <c r="A34" s="84">
        <v>1900</v>
      </c>
      <c r="B34" s="124">
        <v>80</v>
      </c>
      <c r="C34" s="86">
        <f t="shared" si="0"/>
        <v>198</v>
      </c>
      <c r="D34" s="87">
        <f t="shared" si="1"/>
        <v>24.75</v>
      </c>
      <c r="E34" s="125">
        <v>16</v>
      </c>
      <c r="F34" s="89">
        <f t="shared" si="2"/>
        <v>40.75</v>
      </c>
      <c r="G34" s="90">
        <f t="shared" si="3"/>
        <v>4.5277777777777777</v>
      </c>
      <c r="H34" s="123">
        <f t="shared" si="4"/>
        <v>5</v>
      </c>
      <c r="I34" s="92">
        <f t="shared" si="5"/>
        <v>4.5</v>
      </c>
      <c r="J34" s="93">
        <f t="shared" si="6"/>
        <v>1428.3720000000001</v>
      </c>
      <c r="K34" s="95">
        <f t="shared" si="7"/>
        <v>450</v>
      </c>
      <c r="L34" s="94">
        <f t="shared" si="8"/>
        <v>900</v>
      </c>
      <c r="M34" s="95">
        <f t="shared" si="9"/>
        <v>2778.3720000000003</v>
      </c>
      <c r="N34" s="93">
        <f t="shared" si="10"/>
        <v>729.06032423645308</v>
      </c>
      <c r="O34" s="96">
        <f t="shared" si="11"/>
        <v>3507.4323242364535</v>
      </c>
      <c r="P34" s="71">
        <v>17</v>
      </c>
      <c r="Q34" s="97">
        <f t="shared" si="12"/>
        <v>701.48646484729068</v>
      </c>
      <c r="R34" s="98"/>
    </row>
    <row r="35" spans="1:18" s="73" customFormat="1" ht="11.25" x14ac:dyDescent="0.2">
      <c r="A35" s="84">
        <v>2000</v>
      </c>
      <c r="B35" s="124">
        <v>80</v>
      </c>
      <c r="C35" s="86">
        <f t="shared" si="0"/>
        <v>208</v>
      </c>
      <c r="D35" s="87">
        <f t="shared" si="1"/>
        <v>26</v>
      </c>
      <c r="E35" s="125">
        <v>16</v>
      </c>
      <c r="F35" s="89">
        <f t="shared" si="2"/>
        <v>42</v>
      </c>
      <c r="G35" s="90">
        <f t="shared" si="3"/>
        <v>4.666666666666667</v>
      </c>
      <c r="H35" s="123">
        <f t="shared" si="4"/>
        <v>5</v>
      </c>
      <c r="I35" s="92">
        <f t="shared" si="5"/>
        <v>4.5</v>
      </c>
      <c r="J35" s="93">
        <f t="shared" si="6"/>
        <v>1500.5120000000002</v>
      </c>
      <c r="K35" s="95">
        <f t="shared" si="7"/>
        <v>450</v>
      </c>
      <c r="L35" s="94">
        <f t="shared" si="8"/>
        <v>900</v>
      </c>
      <c r="M35" s="95">
        <f t="shared" si="9"/>
        <v>2850.5120000000002</v>
      </c>
      <c r="N35" s="93">
        <f t="shared" si="10"/>
        <v>747.99026298850561</v>
      </c>
      <c r="O35" s="96">
        <f t="shared" si="11"/>
        <v>3598.5022629885057</v>
      </c>
      <c r="P35" s="71">
        <v>18</v>
      </c>
      <c r="Q35" s="97">
        <f t="shared" si="12"/>
        <v>719.70045259770109</v>
      </c>
      <c r="R35" s="98"/>
    </row>
    <row r="36" spans="1:18" s="73" customFormat="1" ht="11.25" x14ac:dyDescent="0.2">
      <c r="A36" s="84">
        <v>2100</v>
      </c>
      <c r="B36" s="124">
        <v>80</v>
      </c>
      <c r="C36" s="86">
        <f t="shared" si="0"/>
        <v>218</v>
      </c>
      <c r="D36" s="87">
        <f t="shared" si="1"/>
        <v>27.25</v>
      </c>
      <c r="E36" s="125">
        <v>16</v>
      </c>
      <c r="F36" s="89">
        <f t="shared" si="2"/>
        <v>43.25</v>
      </c>
      <c r="G36" s="90">
        <f t="shared" si="3"/>
        <v>4.8055555555555554</v>
      </c>
      <c r="H36" s="123">
        <f t="shared" si="4"/>
        <v>5</v>
      </c>
      <c r="I36" s="92">
        <f t="shared" si="5"/>
        <v>4.5</v>
      </c>
      <c r="J36" s="93">
        <f t="shared" si="6"/>
        <v>1572.652</v>
      </c>
      <c r="K36" s="95">
        <f t="shared" si="7"/>
        <v>450</v>
      </c>
      <c r="L36" s="94">
        <f t="shared" si="8"/>
        <v>900</v>
      </c>
      <c r="M36" s="95">
        <f t="shared" si="9"/>
        <v>2922.652</v>
      </c>
      <c r="N36" s="93">
        <f t="shared" si="10"/>
        <v>766.92020174055813</v>
      </c>
      <c r="O36" s="96">
        <f t="shared" si="11"/>
        <v>3689.5722017405583</v>
      </c>
      <c r="P36" s="71">
        <v>19</v>
      </c>
      <c r="Q36" s="97">
        <f t="shared" si="12"/>
        <v>737.91444034811161</v>
      </c>
      <c r="R36" s="98"/>
    </row>
    <row r="37" spans="1:18" s="73" customFormat="1" ht="11.25" x14ac:dyDescent="0.2">
      <c r="A37" s="84">
        <v>2200</v>
      </c>
      <c r="B37" s="124">
        <v>80</v>
      </c>
      <c r="C37" s="86">
        <f t="shared" si="0"/>
        <v>228</v>
      </c>
      <c r="D37" s="87">
        <f t="shared" si="1"/>
        <v>28.5</v>
      </c>
      <c r="E37" s="125">
        <v>16</v>
      </c>
      <c r="F37" s="89">
        <f t="shared" si="2"/>
        <v>44.5</v>
      </c>
      <c r="G37" s="90">
        <f t="shared" si="3"/>
        <v>4.9444444444444446</v>
      </c>
      <c r="H37" s="123">
        <f t="shared" si="4"/>
        <v>5</v>
      </c>
      <c r="I37" s="92">
        <f t="shared" si="5"/>
        <v>4.5</v>
      </c>
      <c r="J37" s="93">
        <f t="shared" si="6"/>
        <v>1644.7920000000001</v>
      </c>
      <c r="K37" s="95">
        <f t="shared" si="7"/>
        <v>450</v>
      </c>
      <c r="L37" s="94">
        <f t="shared" si="8"/>
        <v>900</v>
      </c>
      <c r="M37" s="95">
        <f t="shared" si="9"/>
        <v>2994.7920000000004</v>
      </c>
      <c r="N37" s="93">
        <f t="shared" si="10"/>
        <v>785.85014049261076</v>
      </c>
      <c r="O37" s="96">
        <f t="shared" si="11"/>
        <v>3780.6421404926114</v>
      </c>
      <c r="P37" s="71">
        <v>20</v>
      </c>
      <c r="Q37" s="97">
        <f t="shared" si="12"/>
        <v>756.12842809852225</v>
      </c>
      <c r="R37" s="98"/>
    </row>
    <row r="38" spans="1:18" s="73" customFormat="1" ht="11.25" x14ac:dyDescent="0.2">
      <c r="A38" s="84">
        <v>2300</v>
      </c>
      <c r="B38" s="124">
        <v>80</v>
      </c>
      <c r="C38" s="86">
        <f t="shared" si="0"/>
        <v>238</v>
      </c>
      <c r="D38" s="87">
        <f t="shared" si="1"/>
        <v>29.75</v>
      </c>
      <c r="E38" s="125">
        <v>16</v>
      </c>
      <c r="F38" s="89">
        <f t="shared" si="2"/>
        <v>45.75</v>
      </c>
      <c r="G38" s="90">
        <f t="shared" si="3"/>
        <v>5.083333333333333</v>
      </c>
      <c r="H38" s="123">
        <f t="shared" si="4"/>
        <v>6</v>
      </c>
      <c r="I38" s="92">
        <f t="shared" si="5"/>
        <v>5.5</v>
      </c>
      <c r="J38" s="93">
        <f t="shared" si="6"/>
        <v>1716.932</v>
      </c>
      <c r="K38" s="95">
        <f t="shared" si="7"/>
        <v>540</v>
      </c>
      <c r="L38" s="94">
        <f t="shared" si="8"/>
        <v>1100</v>
      </c>
      <c r="M38" s="95">
        <f t="shared" si="9"/>
        <v>3356.9319999999998</v>
      </c>
      <c r="N38" s="93">
        <f t="shared" si="10"/>
        <v>880.87769829228216</v>
      </c>
      <c r="O38" s="96">
        <f t="shared" si="11"/>
        <v>4237.8096982922816</v>
      </c>
      <c r="P38" s="71">
        <v>21</v>
      </c>
      <c r="Q38" s="97">
        <f t="shared" si="12"/>
        <v>706.30161638204697</v>
      </c>
      <c r="R38" s="98"/>
    </row>
    <row r="39" spans="1:18" s="73" customFormat="1" ht="11.25" x14ac:dyDescent="0.2">
      <c r="A39" s="84">
        <v>2400</v>
      </c>
      <c r="B39" s="124">
        <v>80</v>
      </c>
      <c r="C39" s="86">
        <f t="shared" si="0"/>
        <v>248</v>
      </c>
      <c r="D39" s="87">
        <f t="shared" si="1"/>
        <v>31</v>
      </c>
      <c r="E39" s="125">
        <v>16</v>
      </c>
      <c r="F39" s="89">
        <f t="shared" si="2"/>
        <v>47</v>
      </c>
      <c r="G39" s="90">
        <f t="shared" si="3"/>
        <v>5.2222222222222223</v>
      </c>
      <c r="H39" s="123">
        <f t="shared" si="4"/>
        <v>6</v>
      </c>
      <c r="I39" s="92">
        <f t="shared" si="5"/>
        <v>5.5</v>
      </c>
      <c r="J39" s="93">
        <f t="shared" si="6"/>
        <v>1789.0720000000001</v>
      </c>
      <c r="K39" s="95">
        <f t="shared" si="7"/>
        <v>540</v>
      </c>
      <c r="L39" s="94">
        <f t="shared" si="8"/>
        <v>1100</v>
      </c>
      <c r="M39" s="95">
        <f t="shared" si="9"/>
        <v>3429.0720000000001</v>
      </c>
      <c r="N39" s="93">
        <f t="shared" si="10"/>
        <v>899.8076370443348</v>
      </c>
      <c r="O39" s="96">
        <f t="shared" si="11"/>
        <v>4328.8796370443351</v>
      </c>
      <c r="P39" s="71">
        <v>22</v>
      </c>
      <c r="Q39" s="97">
        <f t="shared" si="12"/>
        <v>721.47993950738919</v>
      </c>
      <c r="R39" s="98"/>
    </row>
    <row r="40" spans="1:18" s="73" customFormat="1" ht="11.25" x14ac:dyDescent="0.2">
      <c r="A40" s="84">
        <v>2500</v>
      </c>
      <c r="B40" s="124">
        <v>80</v>
      </c>
      <c r="C40" s="86">
        <f t="shared" si="0"/>
        <v>258</v>
      </c>
      <c r="D40" s="87">
        <f t="shared" si="1"/>
        <v>32.25</v>
      </c>
      <c r="E40" s="125">
        <v>16</v>
      </c>
      <c r="F40" s="89">
        <f t="shared" si="2"/>
        <v>48.25</v>
      </c>
      <c r="G40" s="90">
        <f t="shared" si="3"/>
        <v>5.3611111111111107</v>
      </c>
      <c r="H40" s="123">
        <f t="shared" si="4"/>
        <v>6</v>
      </c>
      <c r="I40" s="92">
        <f t="shared" si="5"/>
        <v>5.5</v>
      </c>
      <c r="J40" s="93">
        <f t="shared" si="6"/>
        <v>1861.2120000000002</v>
      </c>
      <c r="K40" s="95">
        <f t="shared" si="7"/>
        <v>540</v>
      </c>
      <c r="L40" s="94">
        <f t="shared" si="8"/>
        <v>1100</v>
      </c>
      <c r="M40" s="95">
        <f t="shared" si="9"/>
        <v>3501.2120000000004</v>
      </c>
      <c r="N40" s="93">
        <f t="shared" si="10"/>
        <v>918.73757579638743</v>
      </c>
      <c r="O40" s="96">
        <f t="shared" si="11"/>
        <v>4419.9495757963878</v>
      </c>
      <c r="P40" s="71">
        <v>23</v>
      </c>
      <c r="Q40" s="97">
        <f t="shared" si="12"/>
        <v>736.65826263273129</v>
      </c>
      <c r="R40" s="98"/>
    </row>
    <row r="41" spans="1:18" s="112" customFormat="1" ht="11.25" x14ac:dyDescent="0.2">
      <c r="D41" s="113"/>
      <c r="E41" s="114"/>
      <c r="F41" s="115"/>
      <c r="G41" s="116"/>
      <c r="H41" s="116"/>
      <c r="I41" s="116"/>
      <c r="J41" s="116"/>
      <c r="N41" s="73"/>
      <c r="O41" s="117"/>
      <c r="P41" s="118"/>
      <c r="Q41" s="119">
        <f>SUM(Q18:Q40)</f>
        <v>14548.159882798027</v>
      </c>
    </row>
    <row r="42" spans="1:18" x14ac:dyDescent="0.2">
      <c r="O42" s="120"/>
      <c r="Q42" s="119">
        <f>Q41/23</f>
        <v>632.528690556436</v>
      </c>
    </row>
    <row r="47" spans="1:18" s="41" customFormat="1" ht="11.25" x14ac:dyDescent="0.2"/>
    <row r="48" spans="1:18" s="41" customFormat="1" ht="11.25" x14ac:dyDescent="0.2"/>
    <row r="49" s="41" customFormat="1" ht="11.25" x14ac:dyDescent="0.2"/>
    <row r="50" s="41" customFormat="1" ht="11.25" x14ac:dyDescent="0.2"/>
    <row r="51" s="41" customFormat="1" ht="11.25" x14ac:dyDescent="0.2"/>
    <row r="52" s="41" customFormat="1" ht="11.25" x14ac:dyDescent="0.2"/>
    <row r="54" s="41" customFormat="1" ht="11.25" x14ac:dyDescent="0.2"/>
  </sheetData>
  <mergeCells count="2">
    <mergeCell ref="A1:O1"/>
    <mergeCell ref="A2:O2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zoomScaleNormal="100" workbookViewId="0">
      <selection activeCell="F7" sqref="F7"/>
    </sheetView>
  </sheetViews>
  <sheetFormatPr defaultColWidth="9.33203125" defaultRowHeight="12.75" x14ac:dyDescent="0.2"/>
  <cols>
    <col min="1" max="1" width="18.33203125" style="41" customWidth="1"/>
    <col min="2" max="3" width="9.5" style="41" customWidth="1"/>
    <col min="4" max="4" width="9.33203125" style="42"/>
    <col min="5" max="5" width="9.5" style="43" customWidth="1"/>
    <col min="6" max="6" width="9.5" style="44" customWidth="1"/>
    <col min="7" max="7" width="9.33203125" style="45"/>
    <col min="8" max="8" width="8.5" style="45" customWidth="1"/>
    <col min="9" max="9" width="8.6640625" style="45" customWidth="1"/>
    <col min="10" max="10" width="10.83203125" style="45" customWidth="1"/>
    <col min="11" max="11" width="9.33203125" style="41"/>
    <col min="12" max="12" width="14.33203125" style="41" customWidth="1"/>
    <col min="13" max="13" width="10.83203125" style="41" customWidth="1"/>
    <col min="14" max="14" width="9.33203125" style="46"/>
    <col min="15" max="15" width="10.83203125" style="47" customWidth="1"/>
    <col min="16" max="16" width="3.83203125" style="48" customWidth="1"/>
    <col min="17" max="17" width="16.5" style="170" customWidth="1"/>
    <col min="18" max="1024" width="9.33203125" style="41"/>
  </cols>
  <sheetData>
    <row r="1" spans="1:17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169"/>
    </row>
    <row r="2" spans="1:17" x14ac:dyDescent="0.2">
      <c r="A2" s="224" t="s">
        <v>165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169"/>
    </row>
    <row r="3" spans="1:17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7" x14ac:dyDescent="0.2">
      <c r="A4" s="225" t="s">
        <v>126</v>
      </c>
      <c r="B4" s="225"/>
      <c r="C4" s="225"/>
      <c r="D4" s="225"/>
      <c r="E4" s="225"/>
      <c r="F4" s="225"/>
    </row>
    <row r="5" spans="1:17" x14ac:dyDescent="0.2">
      <c r="A5" s="226" t="s">
        <v>127</v>
      </c>
      <c r="B5" s="226"/>
      <c r="C5" s="226"/>
      <c r="D5" s="226"/>
      <c r="E5" s="226"/>
      <c r="F5" s="57">
        <v>80</v>
      </c>
    </row>
    <row r="6" spans="1:17" x14ac:dyDescent="0.2">
      <c r="A6" s="226" t="s">
        <v>128</v>
      </c>
      <c r="B6" s="226"/>
      <c r="C6" s="226"/>
      <c r="D6" s="226"/>
      <c r="E6" s="226"/>
      <c r="F6" s="57">
        <v>4</v>
      </c>
    </row>
    <row r="7" spans="1:17" x14ac:dyDescent="0.2">
      <c r="A7" s="226" t="s">
        <v>129</v>
      </c>
      <c r="B7" s="226"/>
      <c r="C7" s="226"/>
      <c r="D7" s="226"/>
      <c r="E7" s="226"/>
      <c r="F7" s="57">
        <f>'Valor médio de diárias de carro'!B14</f>
        <v>90</v>
      </c>
    </row>
    <row r="8" spans="1:17" x14ac:dyDescent="0.2">
      <c r="A8" s="226" t="s">
        <v>130</v>
      </c>
      <c r="B8" s="226"/>
      <c r="C8" s="226"/>
      <c r="D8" s="226"/>
      <c r="E8" s="226"/>
      <c r="F8" s="58" t="s">
        <v>131</v>
      </c>
    </row>
    <row r="9" spans="1:17" x14ac:dyDescent="0.2">
      <c r="A9" s="226" t="s">
        <v>132</v>
      </c>
      <c r="B9" s="226"/>
      <c r="C9" s="226"/>
      <c r="D9" s="226"/>
      <c r="E9" s="226"/>
      <c r="F9" s="59">
        <f>'Valor médio gasolina comum'!C24</f>
        <v>7.2140000000000004</v>
      </c>
    </row>
    <row r="10" spans="1:17" x14ac:dyDescent="0.2">
      <c r="A10" s="226" t="s">
        <v>133</v>
      </c>
      <c r="B10" s="226"/>
      <c r="C10" s="226"/>
      <c r="D10" s="226"/>
      <c r="E10" s="226"/>
      <c r="F10" s="57">
        <v>10</v>
      </c>
    </row>
    <row r="11" spans="1:17" s="54" customFormat="1" ht="11.25" x14ac:dyDescent="0.2">
      <c r="A11" s="226" t="s">
        <v>134</v>
      </c>
      <c r="B11" s="226"/>
      <c r="C11" s="226"/>
      <c r="D11" s="226"/>
      <c r="E11" s="226"/>
      <c r="F11" s="60">
        <f>'Valor diarias de hotel e alimen'!C13</f>
        <v>200</v>
      </c>
      <c r="G11" s="53"/>
      <c r="H11" s="53"/>
      <c r="I11" s="53"/>
      <c r="J11" s="53"/>
      <c r="N11" s="46"/>
      <c r="O11" s="46"/>
      <c r="P11" s="55"/>
      <c r="Q11" s="171"/>
    </row>
    <row r="13" spans="1:17" x14ac:dyDescent="0.2">
      <c r="A13" s="62"/>
      <c r="B13" s="62"/>
      <c r="C13" s="62"/>
    </row>
    <row r="14" spans="1:17" x14ac:dyDescent="0.2">
      <c r="A14" s="62"/>
      <c r="B14" s="62"/>
      <c r="C14" s="62"/>
    </row>
    <row r="15" spans="1:17" s="73" customFormat="1" ht="112.5" x14ac:dyDescent="0.2">
      <c r="A15" s="63" t="s">
        <v>135</v>
      </c>
      <c r="B15" s="121" t="s">
        <v>158</v>
      </c>
      <c r="C15" s="64" t="s">
        <v>137</v>
      </c>
      <c r="D15" s="65" t="s">
        <v>138</v>
      </c>
      <c r="E15" s="122" t="s">
        <v>166</v>
      </c>
      <c r="F15" s="67" t="s">
        <v>140</v>
      </c>
      <c r="G15" s="68" t="s">
        <v>141</v>
      </c>
      <c r="H15" s="68" t="s">
        <v>142</v>
      </c>
      <c r="I15" s="68" t="s">
        <v>143</v>
      </c>
      <c r="J15" s="64" t="s">
        <v>144</v>
      </c>
      <c r="K15" s="64" t="s">
        <v>145</v>
      </c>
      <c r="L15" s="64" t="s">
        <v>146</v>
      </c>
      <c r="M15" s="64" t="s">
        <v>147</v>
      </c>
      <c r="N15" s="69" t="s">
        <v>148</v>
      </c>
      <c r="O15" s="70" t="s">
        <v>149</v>
      </c>
      <c r="P15" s="71"/>
      <c r="Q15" s="172" t="s">
        <v>150</v>
      </c>
    </row>
    <row r="16" spans="1:17" s="83" customFormat="1" ht="11.25" x14ac:dyDescent="0.2">
      <c r="A16" s="74" t="s">
        <v>151</v>
      </c>
      <c r="B16" s="75" t="s">
        <v>151</v>
      </c>
      <c r="C16" s="75" t="s">
        <v>152</v>
      </c>
      <c r="D16" s="76" t="s">
        <v>153</v>
      </c>
      <c r="E16" s="77" t="s">
        <v>153</v>
      </c>
      <c r="F16" s="78" t="s">
        <v>153</v>
      </c>
      <c r="G16" s="76" t="s">
        <v>154</v>
      </c>
      <c r="H16" s="76" t="s">
        <v>155</v>
      </c>
      <c r="I16" s="75" t="s">
        <v>155</v>
      </c>
      <c r="J16" s="75" t="s">
        <v>156</v>
      </c>
      <c r="K16" s="75" t="s">
        <v>156</v>
      </c>
      <c r="L16" s="75" t="s">
        <v>156</v>
      </c>
      <c r="M16" s="75" t="s">
        <v>156</v>
      </c>
      <c r="N16" s="79">
        <f>arqeng!C127</f>
        <v>0.26240558292282423</v>
      </c>
      <c r="O16" s="80" t="s">
        <v>156</v>
      </c>
      <c r="P16" s="81"/>
      <c r="Q16" s="173"/>
    </row>
    <row r="17" spans="1:18" s="73" customFormat="1" ht="11.25" x14ac:dyDescent="0.2">
      <c r="A17" s="84">
        <v>400</v>
      </c>
      <c r="B17" s="124">
        <v>100</v>
      </c>
      <c r="C17" s="86">
        <f t="shared" ref="C17:C36" si="0">((A17+B17)/10)</f>
        <v>50</v>
      </c>
      <c r="D17" s="87">
        <f t="shared" ref="D17:D36" si="1">((A17+B17)/80)</f>
        <v>6.25</v>
      </c>
      <c r="E17" s="125">
        <v>20</v>
      </c>
      <c r="F17" s="89">
        <f t="shared" ref="F17:F36" si="2">D17+E17</f>
        <v>26.25</v>
      </c>
      <c r="G17" s="90">
        <f t="shared" ref="G17:G36" si="3">F17/9</f>
        <v>2.9166666666666665</v>
      </c>
      <c r="H17" s="123">
        <f t="shared" ref="H17:H36" si="4">ROUNDUP(G17,0)</f>
        <v>3</v>
      </c>
      <c r="I17" s="92">
        <f t="shared" ref="I17:I36" si="5">H17-0.5</f>
        <v>2.5</v>
      </c>
      <c r="J17" s="93">
        <f t="shared" ref="J17:J36" si="6">C17*$F$9</f>
        <v>360.70000000000005</v>
      </c>
      <c r="K17" s="95">
        <f t="shared" ref="K17:K36" si="7">H17*$F$7</f>
        <v>270</v>
      </c>
      <c r="L17" s="94">
        <f t="shared" ref="L17:L36" si="8">(I17*$F$11)*1</f>
        <v>500</v>
      </c>
      <c r="M17" s="95">
        <f t="shared" ref="M17:M36" si="9">J17+K17+L17</f>
        <v>1130.7</v>
      </c>
      <c r="N17" s="93">
        <f t="shared" ref="N17:N36" si="10">M17*$N$16</f>
        <v>296.70199261083735</v>
      </c>
      <c r="O17" s="96">
        <f t="shared" ref="O17:O36" si="11">M17+N17</f>
        <v>1427.4019926108374</v>
      </c>
      <c r="P17" s="71">
        <v>1</v>
      </c>
      <c r="Q17" s="174">
        <f>O17/H17</f>
        <v>475.80066420361248</v>
      </c>
      <c r="R17" s="98"/>
    </row>
    <row r="18" spans="1:18" s="73" customFormat="1" ht="11.25" x14ac:dyDescent="0.2">
      <c r="A18" s="84">
        <v>500</v>
      </c>
      <c r="B18" s="124">
        <v>100</v>
      </c>
      <c r="C18" s="86">
        <f t="shared" si="0"/>
        <v>60</v>
      </c>
      <c r="D18" s="87">
        <f t="shared" si="1"/>
        <v>7.5</v>
      </c>
      <c r="E18" s="125">
        <v>20</v>
      </c>
      <c r="F18" s="89">
        <f t="shared" si="2"/>
        <v>27.5</v>
      </c>
      <c r="G18" s="90">
        <f t="shared" si="3"/>
        <v>3.0555555555555554</v>
      </c>
      <c r="H18" s="123">
        <f t="shared" si="4"/>
        <v>4</v>
      </c>
      <c r="I18" s="92">
        <f t="shared" si="5"/>
        <v>3.5</v>
      </c>
      <c r="J18" s="93">
        <f t="shared" si="6"/>
        <v>432.84000000000003</v>
      </c>
      <c r="K18" s="95">
        <f t="shared" si="7"/>
        <v>360</v>
      </c>
      <c r="L18" s="94">
        <f t="shared" si="8"/>
        <v>700</v>
      </c>
      <c r="M18" s="95">
        <f t="shared" si="9"/>
        <v>1492.8400000000001</v>
      </c>
      <c r="N18" s="93">
        <f t="shared" si="10"/>
        <v>391.72955041050898</v>
      </c>
      <c r="O18" s="96">
        <f t="shared" si="11"/>
        <v>1884.5695504105092</v>
      </c>
      <c r="P18" s="71">
        <v>2</v>
      </c>
      <c r="Q18" s="174">
        <f t="shared" ref="Q18:Q36" si="12">O18/H18</f>
        <v>471.14238760262731</v>
      </c>
      <c r="R18" s="98"/>
    </row>
    <row r="19" spans="1:18" s="73" customFormat="1" ht="11.25" x14ac:dyDescent="0.2">
      <c r="A19" s="84">
        <v>600</v>
      </c>
      <c r="B19" s="124">
        <v>100</v>
      </c>
      <c r="C19" s="86">
        <f t="shared" si="0"/>
        <v>70</v>
      </c>
      <c r="D19" s="87">
        <f t="shared" si="1"/>
        <v>8.75</v>
      </c>
      <c r="E19" s="125">
        <v>20</v>
      </c>
      <c r="F19" s="89">
        <f t="shared" si="2"/>
        <v>28.75</v>
      </c>
      <c r="G19" s="90">
        <f t="shared" si="3"/>
        <v>3.1944444444444446</v>
      </c>
      <c r="H19" s="123">
        <f t="shared" si="4"/>
        <v>4</v>
      </c>
      <c r="I19" s="92">
        <f t="shared" si="5"/>
        <v>3.5</v>
      </c>
      <c r="J19" s="93">
        <f t="shared" si="6"/>
        <v>504.98</v>
      </c>
      <c r="K19" s="95">
        <f t="shared" si="7"/>
        <v>360</v>
      </c>
      <c r="L19" s="94">
        <f t="shared" si="8"/>
        <v>700</v>
      </c>
      <c r="M19" s="95">
        <f t="shared" si="9"/>
        <v>1564.98</v>
      </c>
      <c r="N19" s="93">
        <f t="shared" si="10"/>
        <v>410.6594891625615</v>
      </c>
      <c r="O19" s="96">
        <f t="shared" si="11"/>
        <v>1975.6394891625614</v>
      </c>
      <c r="P19" s="71">
        <v>3</v>
      </c>
      <c r="Q19" s="174">
        <f t="shared" si="12"/>
        <v>493.90987229064035</v>
      </c>
      <c r="R19" s="98"/>
    </row>
    <row r="20" spans="1:18" s="73" customFormat="1" ht="11.25" x14ac:dyDescent="0.2">
      <c r="A20" s="84">
        <v>700</v>
      </c>
      <c r="B20" s="124">
        <v>100</v>
      </c>
      <c r="C20" s="86">
        <f t="shared" si="0"/>
        <v>80</v>
      </c>
      <c r="D20" s="87">
        <f t="shared" si="1"/>
        <v>10</v>
      </c>
      <c r="E20" s="125">
        <v>20</v>
      </c>
      <c r="F20" s="89">
        <f t="shared" si="2"/>
        <v>30</v>
      </c>
      <c r="G20" s="90">
        <f t="shared" si="3"/>
        <v>3.3333333333333335</v>
      </c>
      <c r="H20" s="123">
        <f t="shared" si="4"/>
        <v>4</v>
      </c>
      <c r="I20" s="92">
        <f t="shared" si="5"/>
        <v>3.5</v>
      </c>
      <c r="J20" s="93">
        <f t="shared" si="6"/>
        <v>577.12</v>
      </c>
      <c r="K20" s="95">
        <f t="shared" si="7"/>
        <v>360</v>
      </c>
      <c r="L20" s="94">
        <f t="shared" si="8"/>
        <v>700</v>
      </c>
      <c r="M20" s="95">
        <f t="shared" si="9"/>
        <v>1637.12</v>
      </c>
      <c r="N20" s="93">
        <f t="shared" si="10"/>
        <v>429.58942791461396</v>
      </c>
      <c r="O20" s="96">
        <f t="shared" si="11"/>
        <v>2066.709427914614</v>
      </c>
      <c r="P20" s="71">
        <v>4</v>
      </c>
      <c r="Q20" s="174">
        <f t="shared" si="12"/>
        <v>516.67735697865351</v>
      </c>
      <c r="R20" s="98"/>
    </row>
    <row r="21" spans="1:18" s="73" customFormat="1" ht="11.25" x14ac:dyDescent="0.2">
      <c r="A21" s="84">
        <v>800</v>
      </c>
      <c r="B21" s="124">
        <v>100</v>
      </c>
      <c r="C21" s="86">
        <f t="shared" si="0"/>
        <v>90</v>
      </c>
      <c r="D21" s="87">
        <f t="shared" si="1"/>
        <v>11.25</v>
      </c>
      <c r="E21" s="125">
        <v>20</v>
      </c>
      <c r="F21" s="89">
        <f t="shared" si="2"/>
        <v>31.25</v>
      </c>
      <c r="G21" s="90">
        <f t="shared" si="3"/>
        <v>3.4722222222222223</v>
      </c>
      <c r="H21" s="123">
        <f t="shared" si="4"/>
        <v>4</v>
      </c>
      <c r="I21" s="92">
        <f t="shared" si="5"/>
        <v>3.5</v>
      </c>
      <c r="J21" s="93">
        <f t="shared" si="6"/>
        <v>649.26</v>
      </c>
      <c r="K21" s="95">
        <f t="shared" si="7"/>
        <v>360</v>
      </c>
      <c r="L21" s="94">
        <f t="shared" si="8"/>
        <v>700</v>
      </c>
      <c r="M21" s="95">
        <f t="shared" si="9"/>
        <v>1709.26</v>
      </c>
      <c r="N21" s="93">
        <f t="shared" si="10"/>
        <v>448.51936666666654</v>
      </c>
      <c r="O21" s="96">
        <f t="shared" si="11"/>
        <v>2157.7793666666666</v>
      </c>
      <c r="P21" s="71">
        <v>5</v>
      </c>
      <c r="Q21" s="174">
        <f t="shared" si="12"/>
        <v>539.44484166666666</v>
      </c>
      <c r="R21" s="98"/>
    </row>
    <row r="22" spans="1:18" s="73" customFormat="1" ht="11.25" x14ac:dyDescent="0.2">
      <c r="A22" s="84">
        <v>900</v>
      </c>
      <c r="B22" s="124">
        <v>100</v>
      </c>
      <c r="C22" s="86">
        <f t="shared" si="0"/>
        <v>100</v>
      </c>
      <c r="D22" s="87">
        <f t="shared" si="1"/>
        <v>12.5</v>
      </c>
      <c r="E22" s="125">
        <v>20</v>
      </c>
      <c r="F22" s="89">
        <f t="shared" si="2"/>
        <v>32.5</v>
      </c>
      <c r="G22" s="90">
        <f t="shared" si="3"/>
        <v>3.6111111111111112</v>
      </c>
      <c r="H22" s="123">
        <f t="shared" si="4"/>
        <v>4</v>
      </c>
      <c r="I22" s="92">
        <f t="shared" si="5"/>
        <v>3.5</v>
      </c>
      <c r="J22" s="93">
        <f t="shared" si="6"/>
        <v>721.40000000000009</v>
      </c>
      <c r="K22" s="95">
        <f t="shared" si="7"/>
        <v>360</v>
      </c>
      <c r="L22" s="94">
        <f t="shared" si="8"/>
        <v>700</v>
      </c>
      <c r="M22" s="95">
        <f t="shared" si="9"/>
        <v>1781.4</v>
      </c>
      <c r="N22" s="93">
        <f t="shared" si="10"/>
        <v>467.44930541871912</v>
      </c>
      <c r="O22" s="96">
        <f t="shared" si="11"/>
        <v>2248.8493054187193</v>
      </c>
      <c r="P22" s="71">
        <v>6</v>
      </c>
      <c r="Q22" s="174">
        <f t="shared" si="12"/>
        <v>562.21232635467982</v>
      </c>
      <c r="R22" s="98"/>
    </row>
    <row r="23" spans="1:18" s="73" customFormat="1" ht="11.25" x14ac:dyDescent="0.2">
      <c r="A23" s="84">
        <v>1000</v>
      </c>
      <c r="B23" s="124">
        <v>100</v>
      </c>
      <c r="C23" s="86">
        <f t="shared" si="0"/>
        <v>110</v>
      </c>
      <c r="D23" s="87">
        <f t="shared" si="1"/>
        <v>13.75</v>
      </c>
      <c r="E23" s="125">
        <v>20</v>
      </c>
      <c r="F23" s="89">
        <f t="shared" si="2"/>
        <v>33.75</v>
      </c>
      <c r="G23" s="90">
        <f t="shared" si="3"/>
        <v>3.75</v>
      </c>
      <c r="H23" s="123">
        <f t="shared" si="4"/>
        <v>4</v>
      </c>
      <c r="I23" s="92">
        <f t="shared" si="5"/>
        <v>3.5</v>
      </c>
      <c r="J23" s="93">
        <f t="shared" si="6"/>
        <v>793.54000000000008</v>
      </c>
      <c r="K23" s="95">
        <f t="shared" si="7"/>
        <v>360</v>
      </c>
      <c r="L23" s="94">
        <f t="shared" si="8"/>
        <v>700</v>
      </c>
      <c r="M23" s="95">
        <f t="shared" si="9"/>
        <v>1853.54</v>
      </c>
      <c r="N23" s="93">
        <f t="shared" si="10"/>
        <v>486.37924417077164</v>
      </c>
      <c r="O23" s="96">
        <f t="shared" si="11"/>
        <v>2339.9192441707714</v>
      </c>
      <c r="P23" s="71">
        <v>7</v>
      </c>
      <c r="Q23" s="174">
        <f t="shared" si="12"/>
        <v>584.97981104269286</v>
      </c>
      <c r="R23" s="98"/>
    </row>
    <row r="24" spans="1:18" s="73" customFormat="1" ht="11.25" x14ac:dyDescent="0.2">
      <c r="A24" s="84">
        <v>1100</v>
      </c>
      <c r="B24" s="124">
        <v>100</v>
      </c>
      <c r="C24" s="86">
        <f t="shared" si="0"/>
        <v>120</v>
      </c>
      <c r="D24" s="87">
        <f t="shared" si="1"/>
        <v>15</v>
      </c>
      <c r="E24" s="125">
        <v>20</v>
      </c>
      <c r="F24" s="89">
        <f t="shared" si="2"/>
        <v>35</v>
      </c>
      <c r="G24" s="90">
        <f t="shared" si="3"/>
        <v>3.8888888888888888</v>
      </c>
      <c r="H24" s="123">
        <f t="shared" si="4"/>
        <v>4</v>
      </c>
      <c r="I24" s="92">
        <f t="shared" si="5"/>
        <v>3.5</v>
      </c>
      <c r="J24" s="93">
        <f t="shared" si="6"/>
        <v>865.68000000000006</v>
      </c>
      <c r="K24" s="95">
        <f t="shared" si="7"/>
        <v>360</v>
      </c>
      <c r="L24" s="94">
        <f t="shared" si="8"/>
        <v>700</v>
      </c>
      <c r="M24" s="95">
        <f t="shared" si="9"/>
        <v>1925.68</v>
      </c>
      <c r="N24" s="93">
        <f t="shared" si="10"/>
        <v>505.30918292282416</v>
      </c>
      <c r="O24" s="96">
        <f t="shared" si="11"/>
        <v>2430.9891829228241</v>
      </c>
      <c r="P24" s="71">
        <v>8</v>
      </c>
      <c r="Q24" s="174">
        <f t="shared" si="12"/>
        <v>607.74729573070601</v>
      </c>
      <c r="R24" s="98"/>
    </row>
    <row r="25" spans="1:18" s="73" customFormat="1" ht="11.25" x14ac:dyDescent="0.2">
      <c r="A25" s="84">
        <v>1200</v>
      </c>
      <c r="B25" s="124">
        <v>100</v>
      </c>
      <c r="C25" s="86">
        <f t="shared" si="0"/>
        <v>130</v>
      </c>
      <c r="D25" s="87">
        <f t="shared" si="1"/>
        <v>16.25</v>
      </c>
      <c r="E25" s="125">
        <v>20</v>
      </c>
      <c r="F25" s="89">
        <f t="shared" si="2"/>
        <v>36.25</v>
      </c>
      <c r="G25" s="90">
        <f t="shared" si="3"/>
        <v>4.0277777777777777</v>
      </c>
      <c r="H25" s="123">
        <f t="shared" si="4"/>
        <v>5</v>
      </c>
      <c r="I25" s="92">
        <f t="shared" si="5"/>
        <v>4.5</v>
      </c>
      <c r="J25" s="93">
        <f t="shared" si="6"/>
        <v>937.82</v>
      </c>
      <c r="K25" s="95">
        <f t="shared" si="7"/>
        <v>450</v>
      </c>
      <c r="L25" s="94">
        <f t="shared" si="8"/>
        <v>900</v>
      </c>
      <c r="M25" s="95">
        <f t="shared" si="9"/>
        <v>2287.8200000000002</v>
      </c>
      <c r="N25" s="93">
        <f t="shared" si="10"/>
        <v>600.33674072249573</v>
      </c>
      <c r="O25" s="96">
        <f t="shared" si="11"/>
        <v>2888.1567407224957</v>
      </c>
      <c r="P25" s="71">
        <v>9</v>
      </c>
      <c r="Q25" s="174">
        <f t="shared" si="12"/>
        <v>577.63134814449916</v>
      </c>
      <c r="R25" s="98"/>
    </row>
    <row r="26" spans="1:18" s="73" customFormat="1" ht="11.25" x14ac:dyDescent="0.2">
      <c r="A26" s="84">
        <v>1300</v>
      </c>
      <c r="B26" s="124">
        <v>100</v>
      </c>
      <c r="C26" s="86">
        <f t="shared" si="0"/>
        <v>140</v>
      </c>
      <c r="D26" s="87">
        <f t="shared" si="1"/>
        <v>17.5</v>
      </c>
      <c r="E26" s="125">
        <v>20</v>
      </c>
      <c r="F26" s="89">
        <f t="shared" si="2"/>
        <v>37.5</v>
      </c>
      <c r="G26" s="90">
        <f t="shared" si="3"/>
        <v>4.166666666666667</v>
      </c>
      <c r="H26" s="123">
        <f t="shared" si="4"/>
        <v>5</v>
      </c>
      <c r="I26" s="92">
        <f t="shared" si="5"/>
        <v>4.5</v>
      </c>
      <c r="J26" s="93">
        <f t="shared" si="6"/>
        <v>1009.96</v>
      </c>
      <c r="K26" s="95">
        <f t="shared" si="7"/>
        <v>450</v>
      </c>
      <c r="L26" s="94">
        <f t="shared" si="8"/>
        <v>900</v>
      </c>
      <c r="M26" s="95">
        <f t="shared" si="9"/>
        <v>2359.96</v>
      </c>
      <c r="N26" s="93">
        <f t="shared" si="10"/>
        <v>619.26667947454825</v>
      </c>
      <c r="O26" s="96">
        <f t="shared" si="11"/>
        <v>2979.2266794745483</v>
      </c>
      <c r="P26" s="71">
        <v>10</v>
      </c>
      <c r="Q26" s="174">
        <f t="shared" si="12"/>
        <v>595.84533589490968</v>
      </c>
      <c r="R26" s="98"/>
    </row>
    <row r="27" spans="1:18" s="73" customFormat="1" ht="11.25" x14ac:dyDescent="0.2">
      <c r="A27" s="84">
        <v>1400</v>
      </c>
      <c r="B27" s="124">
        <v>100</v>
      </c>
      <c r="C27" s="86">
        <f t="shared" si="0"/>
        <v>150</v>
      </c>
      <c r="D27" s="87">
        <f t="shared" si="1"/>
        <v>18.75</v>
      </c>
      <c r="E27" s="125">
        <v>20</v>
      </c>
      <c r="F27" s="89">
        <f t="shared" si="2"/>
        <v>38.75</v>
      </c>
      <c r="G27" s="90">
        <f t="shared" si="3"/>
        <v>4.3055555555555554</v>
      </c>
      <c r="H27" s="123">
        <f t="shared" si="4"/>
        <v>5</v>
      </c>
      <c r="I27" s="92">
        <f t="shared" si="5"/>
        <v>4.5</v>
      </c>
      <c r="J27" s="93">
        <f t="shared" si="6"/>
        <v>1082.1000000000001</v>
      </c>
      <c r="K27" s="95">
        <f t="shared" si="7"/>
        <v>450</v>
      </c>
      <c r="L27" s="94">
        <f t="shared" si="8"/>
        <v>900</v>
      </c>
      <c r="M27" s="95">
        <f t="shared" si="9"/>
        <v>2432.1000000000004</v>
      </c>
      <c r="N27" s="93">
        <f t="shared" si="10"/>
        <v>638.19661822660089</v>
      </c>
      <c r="O27" s="96">
        <f t="shared" si="11"/>
        <v>3070.2966182266014</v>
      </c>
      <c r="P27" s="71">
        <v>11</v>
      </c>
      <c r="Q27" s="174">
        <f t="shared" si="12"/>
        <v>614.05932364532032</v>
      </c>
      <c r="R27" s="98"/>
    </row>
    <row r="28" spans="1:18" s="73" customFormat="1" ht="11.25" x14ac:dyDescent="0.2">
      <c r="A28" s="84">
        <v>1500</v>
      </c>
      <c r="B28" s="124">
        <v>100</v>
      </c>
      <c r="C28" s="86">
        <f t="shared" si="0"/>
        <v>160</v>
      </c>
      <c r="D28" s="87">
        <f t="shared" si="1"/>
        <v>20</v>
      </c>
      <c r="E28" s="125">
        <v>20</v>
      </c>
      <c r="F28" s="89">
        <f t="shared" si="2"/>
        <v>40</v>
      </c>
      <c r="G28" s="90">
        <f t="shared" si="3"/>
        <v>4.4444444444444446</v>
      </c>
      <c r="H28" s="123">
        <f t="shared" si="4"/>
        <v>5</v>
      </c>
      <c r="I28" s="92">
        <f t="shared" si="5"/>
        <v>4.5</v>
      </c>
      <c r="J28" s="93">
        <f t="shared" si="6"/>
        <v>1154.24</v>
      </c>
      <c r="K28" s="95">
        <f t="shared" si="7"/>
        <v>450</v>
      </c>
      <c r="L28" s="94">
        <f t="shared" si="8"/>
        <v>900</v>
      </c>
      <c r="M28" s="95">
        <f t="shared" si="9"/>
        <v>2504.2399999999998</v>
      </c>
      <c r="N28" s="93">
        <f t="shared" si="10"/>
        <v>657.1265569786533</v>
      </c>
      <c r="O28" s="96">
        <f t="shared" si="11"/>
        <v>3161.3665569786531</v>
      </c>
      <c r="P28" s="71">
        <v>12</v>
      </c>
      <c r="Q28" s="174">
        <f t="shared" si="12"/>
        <v>632.27331139573062</v>
      </c>
      <c r="R28" s="98"/>
    </row>
    <row r="29" spans="1:18" s="73" customFormat="1" ht="11.25" x14ac:dyDescent="0.2">
      <c r="A29" s="84">
        <v>1600</v>
      </c>
      <c r="B29" s="124">
        <v>100</v>
      </c>
      <c r="C29" s="86">
        <f t="shared" si="0"/>
        <v>170</v>
      </c>
      <c r="D29" s="87">
        <f t="shared" si="1"/>
        <v>21.25</v>
      </c>
      <c r="E29" s="125">
        <v>20</v>
      </c>
      <c r="F29" s="89">
        <f t="shared" si="2"/>
        <v>41.25</v>
      </c>
      <c r="G29" s="90">
        <f t="shared" si="3"/>
        <v>4.583333333333333</v>
      </c>
      <c r="H29" s="123">
        <f t="shared" si="4"/>
        <v>5</v>
      </c>
      <c r="I29" s="92">
        <f t="shared" si="5"/>
        <v>4.5</v>
      </c>
      <c r="J29" s="93">
        <f t="shared" si="6"/>
        <v>1226.3800000000001</v>
      </c>
      <c r="K29" s="95">
        <f t="shared" si="7"/>
        <v>450</v>
      </c>
      <c r="L29" s="94">
        <f t="shared" si="8"/>
        <v>900</v>
      </c>
      <c r="M29" s="95">
        <f t="shared" si="9"/>
        <v>2576.38</v>
      </c>
      <c r="N29" s="93">
        <f t="shared" si="10"/>
        <v>676.05649573070593</v>
      </c>
      <c r="O29" s="96">
        <f t="shared" si="11"/>
        <v>3252.4364957307062</v>
      </c>
      <c r="P29" s="71">
        <v>13</v>
      </c>
      <c r="Q29" s="174">
        <f t="shared" si="12"/>
        <v>650.48729914614125</v>
      </c>
      <c r="R29" s="98"/>
    </row>
    <row r="30" spans="1:18" s="73" customFormat="1" ht="11.25" x14ac:dyDescent="0.2">
      <c r="A30" s="84">
        <v>1700</v>
      </c>
      <c r="B30" s="124">
        <v>100</v>
      </c>
      <c r="C30" s="86">
        <f t="shared" si="0"/>
        <v>180</v>
      </c>
      <c r="D30" s="87">
        <f t="shared" si="1"/>
        <v>22.5</v>
      </c>
      <c r="E30" s="125">
        <v>20</v>
      </c>
      <c r="F30" s="89">
        <f t="shared" si="2"/>
        <v>42.5</v>
      </c>
      <c r="G30" s="90">
        <f t="shared" si="3"/>
        <v>4.7222222222222223</v>
      </c>
      <c r="H30" s="123">
        <f t="shared" si="4"/>
        <v>5</v>
      </c>
      <c r="I30" s="92">
        <f t="shared" si="5"/>
        <v>4.5</v>
      </c>
      <c r="J30" s="93">
        <f t="shared" si="6"/>
        <v>1298.52</v>
      </c>
      <c r="K30" s="95">
        <f t="shared" si="7"/>
        <v>450</v>
      </c>
      <c r="L30" s="94">
        <f t="shared" si="8"/>
        <v>900</v>
      </c>
      <c r="M30" s="95">
        <f t="shared" si="9"/>
        <v>2648.52</v>
      </c>
      <c r="N30" s="93">
        <f t="shared" si="10"/>
        <v>694.98643448275845</v>
      </c>
      <c r="O30" s="96">
        <f t="shared" si="11"/>
        <v>3343.5064344827583</v>
      </c>
      <c r="P30" s="71">
        <v>14</v>
      </c>
      <c r="Q30" s="174">
        <f t="shared" si="12"/>
        <v>668.70128689655166</v>
      </c>
      <c r="R30" s="98"/>
    </row>
    <row r="31" spans="1:18" s="73" customFormat="1" ht="11.25" x14ac:dyDescent="0.2">
      <c r="A31" s="84">
        <v>1800</v>
      </c>
      <c r="B31" s="124">
        <v>100</v>
      </c>
      <c r="C31" s="86">
        <f t="shared" si="0"/>
        <v>190</v>
      </c>
      <c r="D31" s="87">
        <f t="shared" si="1"/>
        <v>23.75</v>
      </c>
      <c r="E31" s="125">
        <v>20</v>
      </c>
      <c r="F31" s="89">
        <f t="shared" si="2"/>
        <v>43.75</v>
      </c>
      <c r="G31" s="90">
        <f t="shared" si="3"/>
        <v>4.8611111111111107</v>
      </c>
      <c r="H31" s="123">
        <f t="shared" si="4"/>
        <v>5</v>
      </c>
      <c r="I31" s="92">
        <f t="shared" si="5"/>
        <v>4.5</v>
      </c>
      <c r="J31" s="93">
        <f t="shared" si="6"/>
        <v>1370.66</v>
      </c>
      <c r="K31" s="95">
        <f t="shared" si="7"/>
        <v>450</v>
      </c>
      <c r="L31" s="94">
        <f t="shared" si="8"/>
        <v>900</v>
      </c>
      <c r="M31" s="95">
        <f t="shared" si="9"/>
        <v>2720.66</v>
      </c>
      <c r="N31" s="93">
        <f t="shared" si="10"/>
        <v>713.91637323481098</v>
      </c>
      <c r="O31" s="96">
        <f t="shared" si="11"/>
        <v>3434.5763732348109</v>
      </c>
      <c r="P31" s="71">
        <v>15</v>
      </c>
      <c r="Q31" s="174">
        <f t="shared" si="12"/>
        <v>686.91527464696219</v>
      </c>
      <c r="R31" s="98"/>
    </row>
    <row r="32" spans="1:18" s="73" customFormat="1" ht="11.25" x14ac:dyDescent="0.2">
      <c r="A32" s="84">
        <v>1900</v>
      </c>
      <c r="B32" s="124">
        <v>100</v>
      </c>
      <c r="C32" s="86">
        <f t="shared" si="0"/>
        <v>200</v>
      </c>
      <c r="D32" s="87">
        <f t="shared" si="1"/>
        <v>25</v>
      </c>
      <c r="E32" s="125">
        <v>20</v>
      </c>
      <c r="F32" s="89">
        <f t="shared" si="2"/>
        <v>45</v>
      </c>
      <c r="G32" s="90">
        <f t="shared" si="3"/>
        <v>5</v>
      </c>
      <c r="H32" s="123">
        <f t="shared" si="4"/>
        <v>5</v>
      </c>
      <c r="I32" s="92">
        <f t="shared" si="5"/>
        <v>4.5</v>
      </c>
      <c r="J32" s="93">
        <f t="shared" si="6"/>
        <v>1442.8000000000002</v>
      </c>
      <c r="K32" s="95">
        <f t="shared" si="7"/>
        <v>450</v>
      </c>
      <c r="L32" s="94">
        <f t="shared" si="8"/>
        <v>900</v>
      </c>
      <c r="M32" s="95">
        <f t="shared" si="9"/>
        <v>2792.8</v>
      </c>
      <c r="N32" s="93">
        <f t="shared" si="10"/>
        <v>732.84631198686361</v>
      </c>
      <c r="O32" s="96">
        <f t="shared" si="11"/>
        <v>3525.646311986864</v>
      </c>
      <c r="P32" s="71">
        <v>16</v>
      </c>
      <c r="Q32" s="174">
        <f t="shared" si="12"/>
        <v>705.12926239737283</v>
      </c>
      <c r="R32" s="98"/>
    </row>
    <row r="33" spans="1:18" s="73" customFormat="1" ht="11.25" x14ac:dyDescent="0.2">
      <c r="A33" s="84">
        <v>2000</v>
      </c>
      <c r="B33" s="124">
        <v>100</v>
      </c>
      <c r="C33" s="86">
        <f t="shared" si="0"/>
        <v>210</v>
      </c>
      <c r="D33" s="87">
        <f t="shared" si="1"/>
        <v>26.25</v>
      </c>
      <c r="E33" s="125">
        <v>20</v>
      </c>
      <c r="F33" s="89">
        <f t="shared" si="2"/>
        <v>46.25</v>
      </c>
      <c r="G33" s="90">
        <f t="shared" si="3"/>
        <v>5.1388888888888893</v>
      </c>
      <c r="H33" s="123">
        <f t="shared" si="4"/>
        <v>6</v>
      </c>
      <c r="I33" s="92">
        <f t="shared" si="5"/>
        <v>5.5</v>
      </c>
      <c r="J33" s="93">
        <f t="shared" si="6"/>
        <v>1514.94</v>
      </c>
      <c r="K33" s="95">
        <f t="shared" si="7"/>
        <v>540</v>
      </c>
      <c r="L33" s="94">
        <f t="shared" si="8"/>
        <v>1100</v>
      </c>
      <c r="M33" s="95">
        <f t="shared" si="9"/>
        <v>3154.94</v>
      </c>
      <c r="N33" s="93">
        <f t="shared" si="10"/>
        <v>827.87386978653512</v>
      </c>
      <c r="O33" s="96">
        <f t="shared" si="11"/>
        <v>3982.8138697865352</v>
      </c>
      <c r="P33" s="71">
        <v>17</v>
      </c>
      <c r="Q33" s="174">
        <f t="shared" si="12"/>
        <v>663.8023116310892</v>
      </c>
      <c r="R33" s="98"/>
    </row>
    <row r="34" spans="1:18" s="73" customFormat="1" ht="11.25" x14ac:dyDescent="0.2">
      <c r="A34" s="84">
        <v>2100</v>
      </c>
      <c r="B34" s="124">
        <v>100</v>
      </c>
      <c r="C34" s="86">
        <f t="shared" si="0"/>
        <v>220</v>
      </c>
      <c r="D34" s="87">
        <f t="shared" si="1"/>
        <v>27.5</v>
      </c>
      <c r="E34" s="125">
        <v>20</v>
      </c>
      <c r="F34" s="89">
        <f t="shared" si="2"/>
        <v>47.5</v>
      </c>
      <c r="G34" s="90">
        <f t="shared" si="3"/>
        <v>5.2777777777777777</v>
      </c>
      <c r="H34" s="123">
        <f t="shared" si="4"/>
        <v>6</v>
      </c>
      <c r="I34" s="92">
        <f t="shared" si="5"/>
        <v>5.5</v>
      </c>
      <c r="J34" s="93">
        <f t="shared" si="6"/>
        <v>1587.0800000000002</v>
      </c>
      <c r="K34" s="95">
        <f t="shared" si="7"/>
        <v>540</v>
      </c>
      <c r="L34" s="94">
        <f t="shared" si="8"/>
        <v>1100</v>
      </c>
      <c r="M34" s="95">
        <f t="shared" si="9"/>
        <v>3227.08</v>
      </c>
      <c r="N34" s="93">
        <f t="shared" si="10"/>
        <v>846.80380853858765</v>
      </c>
      <c r="O34" s="96">
        <f t="shared" si="11"/>
        <v>4073.8838085385878</v>
      </c>
      <c r="P34" s="71">
        <v>18</v>
      </c>
      <c r="Q34" s="174">
        <f t="shared" si="12"/>
        <v>678.9806347564313</v>
      </c>
      <c r="R34" s="98"/>
    </row>
    <row r="35" spans="1:18" s="73" customFormat="1" ht="11.25" x14ac:dyDescent="0.2">
      <c r="A35" s="84">
        <v>2200</v>
      </c>
      <c r="B35" s="124">
        <v>100</v>
      </c>
      <c r="C35" s="86">
        <f t="shared" si="0"/>
        <v>230</v>
      </c>
      <c r="D35" s="87">
        <f t="shared" si="1"/>
        <v>28.75</v>
      </c>
      <c r="E35" s="125">
        <v>20</v>
      </c>
      <c r="F35" s="89">
        <f t="shared" si="2"/>
        <v>48.75</v>
      </c>
      <c r="G35" s="90">
        <f t="shared" si="3"/>
        <v>5.416666666666667</v>
      </c>
      <c r="H35" s="123">
        <f t="shared" si="4"/>
        <v>6</v>
      </c>
      <c r="I35" s="92">
        <f t="shared" si="5"/>
        <v>5.5</v>
      </c>
      <c r="J35" s="93">
        <f t="shared" si="6"/>
        <v>1659.22</v>
      </c>
      <c r="K35" s="95">
        <f t="shared" si="7"/>
        <v>540</v>
      </c>
      <c r="L35" s="94">
        <f t="shared" si="8"/>
        <v>1100</v>
      </c>
      <c r="M35" s="95">
        <f t="shared" si="9"/>
        <v>3299.2200000000003</v>
      </c>
      <c r="N35" s="93">
        <f t="shared" si="10"/>
        <v>865.73374729064028</v>
      </c>
      <c r="O35" s="96">
        <f t="shared" si="11"/>
        <v>4164.9537472906404</v>
      </c>
      <c r="P35" s="71">
        <v>19</v>
      </c>
      <c r="Q35" s="174">
        <f t="shared" si="12"/>
        <v>694.1589578817734</v>
      </c>
      <c r="R35" s="98"/>
    </row>
    <row r="36" spans="1:18" s="73" customFormat="1" ht="11.25" x14ac:dyDescent="0.2">
      <c r="A36" s="84">
        <v>2300</v>
      </c>
      <c r="B36" s="124">
        <v>100</v>
      </c>
      <c r="C36" s="86">
        <f t="shared" si="0"/>
        <v>240</v>
      </c>
      <c r="D36" s="87">
        <f t="shared" si="1"/>
        <v>30</v>
      </c>
      <c r="E36" s="125">
        <v>20</v>
      </c>
      <c r="F36" s="89">
        <f t="shared" si="2"/>
        <v>50</v>
      </c>
      <c r="G36" s="90">
        <f t="shared" si="3"/>
        <v>5.5555555555555554</v>
      </c>
      <c r="H36" s="123">
        <f t="shared" si="4"/>
        <v>6</v>
      </c>
      <c r="I36" s="92">
        <f t="shared" si="5"/>
        <v>5.5</v>
      </c>
      <c r="J36" s="93">
        <f t="shared" si="6"/>
        <v>1731.3600000000001</v>
      </c>
      <c r="K36" s="95">
        <f t="shared" si="7"/>
        <v>540</v>
      </c>
      <c r="L36" s="94">
        <f t="shared" si="8"/>
        <v>1100</v>
      </c>
      <c r="M36" s="95">
        <f t="shared" si="9"/>
        <v>3371.36</v>
      </c>
      <c r="N36" s="93">
        <f t="shared" si="10"/>
        <v>884.66368604269269</v>
      </c>
      <c r="O36" s="96">
        <f t="shared" si="11"/>
        <v>4256.023686042693</v>
      </c>
      <c r="P36" s="71">
        <v>20</v>
      </c>
      <c r="Q36" s="174">
        <f t="shared" si="12"/>
        <v>709.33728100711551</v>
      </c>
      <c r="R36" s="98"/>
    </row>
    <row r="37" spans="1:18" s="112" customFormat="1" ht="11.25" x14ac:dyDescent="0.2">
      <c r="D37" s="113"/>
      <c r="E37" s="114"/>
      <c r="F37" s="115"/>
      <c r="G37" s="116"/>
      <c r="H37" s="116"/>
      <c r="I37" s="116"/>
      <c r="J37" s="116"/>
      <c r="N37" s="73"/>
      <c r="O37" s="117"/>
      <c r="P37" s="118"/>
      <c r="Q37" s="175">
        <f>SUM(Q17:Q36)</f>
        <v>12129.236183314179</v>
      </c>
    </row>
    <row r="38" spans="1:18" x14ac:dyDescent="0.2">
      <c r="O38" s="120"/>
      <c r="Q38" s="175">
        <f>Q37/20</f>
        <v>606.46180916570893</v>
      </c>
    </row>
    <row r="43" spans="1:18" s="41" customFormat="1" ht="11.25" x14ac:dyDescent="0.2">
      <c r="Q43" s="176"/>
    </row>
    <row r="44" spans="1:18" s="41" customFormat="1" ht="11.25" x14ac:dyDescent="0.2">
      <c r="Q44" s="176"/>
    </row>
    <row r="45" spans="1:18" s="41" customFormat="1" ht="11.25" x14ac:dyDescent="0.2">
      <c r="Q45" s="176"/>
    </row>
    <row r="46" spans="1:18" s="41" customFormat="1" ht="11.25" x14ac:dyDescent="0.2">
      <c r="Q46" s="176"/>
    </row>
    <row r="47" spans="1:18" s="41" customFormat="1" ht="11.25" x14ac:dyDescent="0.2">
      <c r="Q47" s="176"/>
    </row>
    <row r="48" spans="1:18" s="41" customFormat="1" ht="11.25" x14ac:dyDescent="0.2">
      <c r="Q48" s="176"/>
    </row>
    <row r="50" spans="17:17" s="41" customFormat="1" ht="11.25" x14ac:dyDescent="0.2">
      <c r="Q50" s="176"/>
    </row>
  </sheetData>
  <mergeCells count="10">
    <mergeCell ref="A1:O1"/>
    <mergeCell ref="A2:O2"/>
    <mergeCell ref="A4:F4"/>
    <mergeCell ref="A5:E5"/>
    <mergeCell ref="A11:E11"/>
    <mergeCell ref="A6:E6"/>
    <mergeCell ref="A7:E7"/>
    <mergeCell ref="A8:E8"/>
    <mergeCell ref="A9:E9"/>
    <mergeCell ref="A10:E10"/>
  </mergeCells>
  <printOptions horizontalCentered="1" verticalCentered="1"/>
  <pageMargins left="1.1812499999999999" right="0.59027777777777801" top="0.78749999999999998" bottom="0.78749999999999998" header="0.51180555555555496" footer="0.51180555555555496"/>
  <pageSetup paperSize="9" scale="89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zoomScaleNormal="100" workbookViewId="0">
      <selection activeCell="E9" sqref="E9"/>
    </sheetView>
  </sheetViews>
  <sheetFormatPr defaultColWidth="9.33203125" defaultRowHeight="12.75" x14ac:dyDescent="0.2"/>
  <cols>
    <col min="1" max="1" width="68.6640625" style="130" customWidth="1"/>
    <col min="2" max="2" width="34" style="130" customWidth="1"/>
    <col min="3" max="3" width="11.83203125" style="130" customWidth="1"/>
    <col min="4" max="5" width="9.33203125" style="130"/>
    <col min="6" max="6" width="15.33203125" style="130" customWidth="1"/>
    <col min="7" max="1024" width="9.33203125" style="130"/>
  </cols>
  <sheetData>
    <row r="1" spans="1:16" ht="79.5" customHeight="1" x14ac:dyDescent="0.2">
      <c r="A1" s="228"/>
      <c r="B1" s="228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</row>
    <row r="2" spans="1:16" ht="24" customHeight="1" x14ac:dyDescent="0.25">
      <c r="A2" s="229" t="s">
        <v>167</v>
      </c>
      <c r="B2" s="229"/>
    </row>
    <row r="3" spans="1:16" ht="18" x14ac:dyDescent="0.25">
      <c r="A3" s="132"/>
      <c r="B3" s="132"/>
    </row>
    <row r="4" spans="1:16" ht="28.5" customHeight="1" x14ac:dyDescent="0.2"/>
    <row r="5" spans="1:16" s="135" customFormat="1" ht="18" customHeight="1" x14ac:dyDescent="0.2">
      <c r="A5" s="133" t="s">
        <v>168</v>
      </c>
      <c r="B5" s="134">
        <f>'Deslocamento 1 município'!Q39</f>
        <v>694.12602057247364</v>
      </c>
    </row>
    <row r="6" spans="1:16" s="135" customFormat="1" ht="18" customHeight="1" x14ac:dyDescent="0.2">
      <c r="A6" s="133" t="s">
        <v>169</v>
      </c>
      <c r="B6" s="134">
        <f>'Deslocamento 2 municípios'!Q48</f>
        <v>696.36714650603903</v>
      </c>
    </row>
    <row r="7" spans="1:16" s="135" customFormat="1" ht="18" customHeight="1" x14ac:dyDescent="0.2">
      <c r="A7" s="133" t="s">
        <v>170</v>
      </c>
      <c r="B7" s="134">
        <f>'Deslocamento 3 municípios'!Q45</f>
        <v>662.35595017685341</v>
      </c>
    </row>
    <row r="8" spans="1:16" s="135" customFormat="1" ht="18" customHeight="1" x14ac:dyDescent="0.2">
      <c r="A8" s="133" t="s">
        <v>171</v>
      </c>
      <c r="B8" s="134">
        <f>'Deslocamento 4 municípios'!Q42</f>
        <v>632.528690556436</v>
      </c>
    </row>
    <row r="9" spans="1:16" s="135" customFormat="1" ht="18" customHeight="1" x14ac:dyDescent="0.2">
      <c r="A9" s="133" t="s">
        <v>172</v>
      </c>
      <c r="B9" s="134">
        <f>'Deslocamento 5 municípios'!Q38</f>
        <v>606.46180916570893</v>
      </c>
    </row>
    <row r="10" spans="1:16" s="135" customFormat="1" ht="18" customHeight="1" x14ac:dyDescent="0.2">
      <c r="A10" s="136"/>
      <c r="B10" s="137">
        <f>SUM(B5:B9)</f>
        <v>3291.839616977511</v>
      </c>
    </row>
    <row r="11" spans="1:16" s="135" customFormat="1" ht="48" customHeight="1" x14ac:dyDescent="0.2">
      <c r="A11" s="138" t="s">
        <v>173</v>
      </c>
      <c r="B11" s="139">
        <f>B10/5</f>
        <v>658.3679233955022</v>
      </c>
      <c r="C11" s="140"/>
    </row>
  </sheetData>
  <mergeCells count="2">
    <mergeCell ref="A1:B1"/>
    <mergeCell ref="A2:B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MJ27"/>
  <sheetViews>
    <sheetView zoomScaleNormal="100" workbookViewId="0">
      <selection activeCell="E31" sqref="E31"/>
    </sheetView>
  </sheetViews>
  <sheetFormatPr defaultColWidth="9.33203125" defaultRowHeight="12.75" x14ac:dyDescent="0.2"/>
  <cols>
    <col min="1" max="1" width="9.33203125" style="130"/>
    <col min="2" max="2" width="31.5" style="130" customWidth="1"/>
    <col min="3" max="3" width="15.33203125" style="130" customWidth="1"/>
    <col min="4" max="1024" width="9.33203125" style="130"/>
  </cols>
  <sheetData>
    <row r="3" spans="2:3" x14ac:dyDescent="0.2">
      <c r="B3" s="141" t="s">
        <v>174</v>
      </c>
    </row>
    <row r="5" spans="2:3" x14ac:dyDescent="0.2">
      <c r="B5" s="147" t="s">
        <v>174</v>
      </c>
      <c r="C5"/>
    </row>
    <row r="6" spans="2:3" x14ac:dyDescent="0.2">
      <c r="B6"/>
      <c r="C6"/>
    </row>
    <row r="7" spans="2:3" x14ac:dyDescent="0.2">
      <c r="B7" s="148" t="s">
        <v>175</v>
      </c>
      <c r="C7" s="148" t="s">
        <v>176</v>
      </c>
    </row>
    <row r="8" spans="2:3" x14ac:dyDescent="0.2">
      <c r="B8" s="149" t="s">
        <v>177</v>
      </c>
      <c r="C8" s="150">
        <v>6.9820000000000002</v>
      </c>
    </row>
    <row r="9" spans="2:3" x14ac:dyDescent="0.2">
      <c r="B9" s="149" t="s">
        <v>180</v>
      </c>
      <c r="C9" s="150">
        <v>7.1109999999999998</v>
      </c>
    </row>
    <row r="10" spans="2:3" x14ac:dyDescent="0.2">
      <c r="B10" s="149" t="s">
        <v>187</v>
      </c>
      <c r="C10" s="150">
        <v>7.5780000000000003</v>
      </c>
    </row>
    <row r="11" spans="2:3" x14ac:dyDescent="0.2">
      <c r="B11" s="149" t="s">
        <v>179</v>
      </c>
      <c r="C11" s="150">
        <v>7.0759999999999996</v>
      </c>
    </row>
    <row r="12" spans="2:3" x14ac:dyDescent="0.2">
      <c r="B12" s="149" t="s">
        <v>192</v>
      </c>
      <c r="C12" s="150">
        <v>7.27</v>
      </c>
    </row>
    <row r="13" spans="2:3" x14ac:dyDescent="0.2">
      <c r="B13" s="149" t="s">
        <v>183</v>
      </c>
      <c r="C13" s="150">
        <v>7.18</v>
      </c>
    </row>
    <row r="14" spans="2:3" x14ac:dyDescent="0.2">
      <c r="B14" s="149" t="s">
        <v>188</v>
      </c>
      <c r="C14" s="150">
        <v>7.14</v>
      </c>
    </row>
    <row r="15" spans="2:3" x14ac:dyDescent="0.2">
      <c r="B15" s="149" t="s">
        <v>182</v>
      </c>
      <c r="C15" s="150">
        <v>7.2670000000000003</v>
      </c>
    </row>
    <row r="16" spans="2:3" x14ac:dyDescent="0.2">
      <c r="B16" s="149" t="s">
        <v>181</v>
      </c>
      <c r="C16" s="150">
        <v>6.9740000000000002</v>
      </c>
    </row>
    <row r="17" spans="2:3" x14ac:dyDescent="0.2">
      <c r="B17" s="149" t="s">
        <v>189</v>
      </c>
      <c r="C17" s="150">
        <v>7.3639999999999999</v>
      </c>
    </row>
    <row r="18" spans="2:3" x14ac:dyDescent="0.2">
      <c r="B18" s="149" t="s">
        <v>184</v>
      </c>
      <c r="C18" s="150">
        <v>7.1050000000000004</v>
      </c>
    </row>
    <row r="19" spans="2:3" x14ac:dyDescent="0.2">
      <c r="B19" s="149" t="s">
        <v>191</v>
      </c>
      <c r="C19" s="150">
        <v>7.5750000000000002</v>
      </c>
    </row>
    <row r="20" spans="2:3" x14ac:dyDescent="0.2">
      <c r="B20" s="149" t="s">
        <v>186</v>
      </c>
      <c r="C20" s="150">
        <v>7.02</v>
      </c>
    </row>
    <row r="21" spans="2:3" x14ac:dyDescent="0.2">
      <c r="B21" s="149" t="s">
        <v>178</v>
      </c>
      <c r="C21" s="150">
        <v>7.0919999999999996</v>
      </c>
    </row>
    <row r="22" spans="2:3" x14ac:dyDescent="0.2">
      <c r="B22" s="149" t="s">
        <v>185</v>
      </c>
      <c r="C22" s="150">
        <v>7.2050000000000001</v>
      </c>
    </row>
    <row r="23" spans="2:3" x14ac:dyDescent="0.2">
      <c r="B23" s="149" t="s">
        <v>190</v>
      </c>
      <c r="C23" s="150">
        <v>7.4850000000000003</v>
      </c>
    </row>
    <row r="24" spans="2:3" x14ac:dyDescent="0.2">
      <c r="B24" s="146" t="s">
        <v>193</v>
      </c>
      <c r="C24" s="151">
        <f>AVERAGE(C8:C23)</f>
        <v>7.2140000000000004</v>
      </c>
    </row>
    <row r="25" spans="2:3" x14ac:dyDescent="0.2">
      <c r="B25"/>
      <c r="C25"/>
    </row>
    <row r="26" spans="2:3" x14ac:dyDescent="0.2">
      <c r="B26"/>
      <c r="C26"/>
    </row>
    <row r="27" spans="2:3" x14ac:dyDescent="0.2">
      <c r="B27" s="147" t="s">
        <v>198</v>
      </c>
      <c r="C27"/>
    </row>
  </sheetData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zoomScaleNormal="100" workbookViewId="0">
      <selection activeCell="D6" sqref="D6"/>
    </sheetView>
  </sheetViews>
  <sheetFormatPr defaultRowHeight="12.75" x14ac:dyDescent="0.2"/>
  <cols>
    <col min="1" max="1" width="19" customWidth="1"/>
    <col min="2" max="2" width="15.6640625" bestFit="1" customWidth="1"/>
  </cols>
  <sheetData>
    <row r="1" spans="1:2" ht="15.75" x14ac:dyDescent="0.25">
      <c r="A1" s="230" t="s">
        <v>199</v>
      </c>
      <c r="B1" s="230"/>
    </row>
    <row r="2" spans="1:2" ht="15" x14ac:dyDescent="0.2">
      <c r="A2" s="152"/>
      <c r="B2" s="152"/>
    </row>
    <row r="3" spans="1:2" ht="15" x14ac:dyDescent="0.2">
      <c r="A3" s="152"/>
      <c r="B3" s="152"/>
    </row>
    <row r="4" spans="1:2" ht="15" x14ac:dyDescent="0.2">
      <c r="A4" s="153" t="s">
        <v>220</v>
      </c>
      <c r="B4" s="154">
        <v>92</v>
      </c>
    </row>
    <row r="5" spans="1:2" ht="15" x14ac:dyDescent="0.2">
      <c r="A5" s="153" t="s">
        <v>218</v>
      </c>
      <c r="B5" s="154">
        <v>83.76</v>
      </c>
    </row>
    <row r="6" spans="1:2" ht="15" x14ac:dyDescent="0.2">
      <c r="A6" s="153" t="s">
        <v>223</v>
      </c>
      <c r="B6" s="154">
        <v>120</v>
      </c>
    </row>
    <row r="7" spans="1:2" ht="15" x14ac:dyDescent="0.2">
      <c r="A7" s="153" t="s">
        <v>219</v>
      </c>
      <c r="B7" s="154">
        <v>85</v>
      </c>
    </row>
    <row r="8" spans="1:2" ht="15" x14ac:dyDescent="0.2">
      <c r="A8" s="153" t="s">
        <v>221</v>
      </c>
      <c r="B8" s="154">
        <v>75</v>
      </c>
    </row>
    <row r="9" spans="1:2" ht="15" x14ac:dyDescent="0.2">
      <c r="A9" s="153" t="s">
        <v>207</v>
      </c>
      <c r="B9" s="154">
        <v>78.25</v>
      </c>
    </row>
    <row r="10" spans="1:2" ht="15" x14ac:dyDescent="0.2">
      <c r="A10" s="153" t="s">
        <v>222</v>
      </c>
      <c r="B10" s="154">
        <v>100</v>
      </c>
    </row>
    <row r="11" spans="1:2" ht="15" x14ac:dyDescent="0.2">
      <c r="A11" s="153" t="s">
        <v>200</v>
      </c>
      <c r="B11" s="154">
        <v>79.569999999999993</v>
      </c>
    </row>
    <row r="12" spans="1:2" ht="15" x14ac:dyDescent="0.2">
      <c r="A12" s="152"/>
      <c r="B12" s="155"/>
    </row>
    <row r="13" spans="1:2" ht="15" x14ac:dyDescent="0.2">
      <c r="A13" s="152" t="s">
        <v>176</v>
      </c>
      <c r="B13" s="156">
        <f>AVERAGE(B4:B11)</f>
        <v>89.197499999999991</v>
      </c>
    </row>
    <row r="14" spans="1:2" ht="15.75" x14ac:dyDescent="0.25">
      <c r="A14" s="157" t="s">
        <v>201</v>
      </c>
      <c r="B14" s="158">
        <f>ROUNDUP(B13,0)</f>
        <v>90</v>
      </c>
    </row>
  </sheetData>
  <sortState ref="A4:B11">
    <sortCondition ref="A4:A11"/>
  </sortState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E9" sqref="E9"/>
    </sheetView>
  </sheetViews>
  <sheetFormatPr defaultRowHeight="12.75" x14ac:dyDescent="0.2"/>
  <cols>
    <col min="1" max="1" width="16.5" bestFit="1" customWidth="1"/>
    <col min="2" max="2" width="23.6640625" bestFit="1" customWidth="1"/>
    <col min="3" max="3" width="13.33203125" bestFit="1" customWidth="1"/>
    <col min="4" max="4" width="36" customWidth="1"/>
    <col min="5" max="5" width="14.33203125" bestFit="1" customWidth="1"/>
  </cols>
  <sheetData>
    <row r="1" spans="1:5" x14ac:dyDescent="0.2">
      <c r="A1" s="231" t="s">
        <v>202</v>
      </c>
      <c r="B1" s="232"/>
      <c r="D1" s="231" t="s">
        <v>203</v>
      </c>
      <c r="E1" s="232"/>
    </row>
    <row r="3" spans="1:5" x14ac:dyDescent="0.2">
      <c r="A3" s="148" t="s">
        <v>175</v>
      </c>
      <c r="B3" s="148" t="s">
        <v>176</v>
      </c>
      <c r="D3" s="148" t="s">
        <v>175</v>
      </c>
      <c r="E3" s="148" t="s">
        <v>176</v>
      </c>
    </row>
    <row r="4" spans="1:5" x14ac:dyDescent="0.2">
      <c r="A4" s="149" t="s">
        <v>177</v>
      </c>
      <c r="B4" s="150">
        <v>120</v>
      </c>
      <c r="D4" s="233" t="s">
        <v>204</v>
      </c>
      <c r="E4" s="236">
        <v>85</v>
      </c>
    </row>
    <row r="5" spans="1:5" x14ac:dyDescent="0.2">
      <c r="A5" s="149" t="s">
        <v>180</v>
      </c>
      <c r="B5" s="150">
        <v>121</v>
      </c>
      <c r="D5" s="234"/>
      <c r="E5" s="237"/>
    </row>
    <row r="6" spans="1:5" x14ac:dyDescent="0.2">
      <c r="A6" s="149" t="s">
        <v>187</v>
      </c>
      <c r="B6" s="150">
        <v>90</v>
      </c>
      <c r="D6" s="234"/>
      <c r="E6" s="237"/>
    </row>
    <row r="7" spans="1:5" x14ac:dyDescent="0.2">
      <c r="A7" s="149" t="s">
        <v>192</v>
      </c>
      <c r="B7" s="150">
        <v>108</v>
      </c>
      <c r="D7" s="234"/>
      <c r="E7" s="237"/>
    </row>
    <row r="8" spans="1:5" x14ac:dyDescent="0.2">
      <c r="A8" s="149" t="s">
        <v>189</v>
      </c>
      <c r="B8" s="150">
        <v>150</v>
      </c>
      <c r="D8" s="235"/>
      <c r="E8" s="238"/>
    </row>
    <row r="9" spans="1:5" x14ac:dyDescent="0.2">
      <c r="A9" s="146" t="s">
        <v>193</v>
      </c>
      <c r="B9" s="151">
        <f>AVERAGE(B4:B8)</f>
        <v>117.8</v>
      </c>
      <c r="D9" s="146" t="s">
        <v>193</v>
      </c>
      <c r="E9" s="151">
        <f>AVERAGE(E4:E8)</f>
        <v>85</v>
      </c>
    </row>
    <row r="12" spans="1:5" x14ac:dyDescent="0.2">
      <c r="B12" s="159" t="s">
        <v>205</v>
      </c>
      <c r="C12" s="160">
        <f>B9+E9</f>
        <v>202.8</v>
      </c>
    </row>
    <row r="13" spans="1:5" x14ac:dyDescent="0.2">
      <c r="B13" s="161" t="s">
        <v>206</v>
      </c>
      <c r="C13" s="162">
        <v>200</v>
      </c>
    </row>
  </sheetData>
  <mergeCells count="4">
    <mergeCell ref="A1:B1"/>
    <mergeCell ref="D1:E1"/>
    <mergeCell ref="D4:D8"/>
    <mergeCell ref="E4:E8"/>
  </mergeCells>
  <pageMargins left="0.511811024" right="0.511811024" top="0.78740157499999996" bottom="0.78740157499999996" header="0.31496062000000002" footer="0.31496062000000002"/>
  <pageSetup paperSize="9" scale="9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42"/>
  <sheetViews>
    <sheetView topLeftCell="A140" zoomScale="115" zoomScaleNormal="115" workbookViewId="0">
      <selection activeCell="D164" sqref="D164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9.33203125" style="1"/>
    <col min="7" max="8" width="12.1640625" style="1" bestFit="1" customWidth="1"/>
    <col min="9" max="1022" width="9.33203125" style="1"/>
  </cols>
  <sheetData>
    <row r="1" spans="1:4" ht="15.75" x14ac:dyDescent="0.25">
      <c r="A1" s="203" t="s">
        <v>2</v>
      </c>
      <c r="B1" s="203"/>
      <c r="C1" s="203"/>
      <c r="D1" s="203"/>
    </row>
    <row r="3" spans="1:4" x14ac:dyDescent="0.2">
      <c r="A3" s="204" t="s">
        <v>3</v>
      </c>
      <c r="B3" s="204"/>
      <c r="C3" s="204"/>
      <c r="D3" s="204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4</v>
      </c>
      <c r="C5" s="205" t="s">
        <v>214</v>
      </c>
      <c r="D5" s="205"/>
    </row>
    <row r="6" spans="1:4" x14ac:dyDescent="0.2">
      <c r="A6" s="3">
        <v>2</v>
      </c>
      <c r="B6" s="3" t="s">
        <v>5</v>
      </c>
      <c r="C6" s="206"/>
      <c r="D6" s="206"/>
    </row>
    <row r="7" spans="1:4" x14ac:dyDescent="0.2">
      <c r="A7" s="3">
        <v>3</v>
      </c>
      <c r="B7" s="3" t="s">
        <v>6</v>
      </c>
      <c r="C7" s="205" t="s">
        <v>197</v>
      </c>
      <c r="D7" s="205"/>
    </row>
    <row r="8" spans="1:4" x14ac:dyDescent="0.2">
      <c r="A8" s="3">
        <v>4</v>
      </c>
      <c r="B8" s="3" t="s">
        <v>7</v>
      </c>
      <c r="C8" s="207">
        <v>44287</v>
      </c>
      <c r="D8" s="205"/>
    </row>
    <row r="10" spans="1:4" x14ac:dyDescent="0.2">
      <c r="A10" s="204" t="s">
        <v>8</v>
      </c>
      <c r="B10" s="204"/>
      <c r="C10" s="204"/>
      <c r="D10" s="204"/>
    </row>
    <row r="12" spans="1:4" ht="12.75" customHeight="1" x14ac:dyDescent="0.2">
      <c r="A12" s="4">
        <v>1</v>
      </c>
      <c r="B12" s="208" t="s">
        <v>9</v>
      </c>
      <c r="C12" s="208"/>
      <c r="D12" s="4" t="s">
        <v>10</v>
      </c>
    </row>
    <row r="13" spans="1:4" ht="12.75" customHeight="1" x14ac:dyDescent="0.2">
      <c r="A13" s="5" t="s">
        <v>11</v>
      </c>
      <c r="B13" s="209" t="s">
        <v>12</v>
      </c>
      <c r="C13" s="209"/>
      <c r="D13" s="144">
        <v>11097.89</v>
      </c>
    </row>
    <row r="14" spans="1:4" ht="12.75" customHeight="1" x14ac:dyDescent="0.2">
      <c r="A14" s="5" t="s">
        <v>13</v>
      </c>
      <c r="B14" s="209" t="s">
        <v>14</v>
      </c>
      <c r="C14" s="209"/>
      <c r="D14" s="7" t="s">
        <v>194</v>
      </c>
    </row>
    <row r="15" spans="1:4" ht="12.75" customHeight="1" x14ac:dyDescent="0.2">
      <c r="A15" s="5" t="s">
        <v>15</v>
      </c>
      <c r="B15" s="209" t="s">
        <v>16</v>
      </c>
      <c r="C15" s="209"/>
      <c r="D15" s="7" t="s">
        <v>194</v>
      </c>
    </row>
    <row r="16" spans="1:4" ht="12.75" customHeight="1" x14ac:dyDescent="0.2">
      <c r="A16" s="5" t="s">
        <v>17</v>
      </c>
      <c r="B16" s="209" t="s">
        <v>18</v>
      </c>
      <c r="C16" s="209"/>
      <c r="D16" s="7" t="s">
        <v>194</v>
      </c>
    </row>
    <row r="17" spans="1:4" ht="12.75" customHeight="1" x14ac:dyDescent="0.2">
      <c r="A17" s="5" t="s">
        <v>19</v>
      </c>
      <c r="B17" s="209" t="s">
        <v>20</v>
      </c>
      <c r="C17" s="209"/>
      <c r="D17" s="7" t="s">
        <v>194</v>
      </c>
    </row>
    <row r="18" spans="1:4" x14ac:dyDescent="0.2">
      <c r="A18" s="5"/>
      <c r="B18" s="209"/>
      <c r="C18" s="209"/>
      <c r="D18" s="7"/>
    </row>
    <row r="19" spans="1:4" ht="12.75" customHeight="1" x14ac:dyDescent="0.2">
      <c r="A19" s="5" t="s">
        <v>21</v>
      </c>
      <c r="B19" s="209" t="s">
        <v>22</v>
      </c>
      <c r="C19" s="209"/>
      <c r="D19" s="7"/>
    </row>
    <row r="20" spans="1:4" ht="12.75" customHeight="1" x14ac:dyDescent="0.2">
      <c r="A20" s="208" t="s">
        <v>23</v>
      </c>
      <c r="B20" s="208"/>
      <c r="C20" s="208"/>
      <c r="D20" s="8">
        <f>SUM(D13:D19)</f>
        <v>11097.89</v>
      </c>
    </row>
    <row r="23" spans="1:4" x14ac:dyDescent="0.2">
      <c r="A23" s="204" t="s">
        <v>24</v>
      </c>
      <c r="B23" s="204"/>
      <c r="C23" s="204"/>
      <c r="D23" s="204"/>
    </row>
    <row r="24" spans="1:4" x14ac:dyDescent="0.2">
      <c r="A24" s="9"/>
    </row>
    <row r="25" spans="1:4" x14ac:dyDescent="0.2">
      <c r="A25" s="210" t="s">
        <v>25</v>
      </c>
      <c r="B25" s="210"/>
      <c r="C25" s="210"/>
      <c r="D25" s="210"/>
    </row>
    <row r="27" spans="1:4" ht="12.75" customHeight="1" x14ac:dyDescent="0.2">
      <c r="A27" s="4" t="s">
        <v>26</v>
      </c>
      <c r="B27" s="208" t="s">
        <v>27</v>
      </c>
      <c r="C27" s="208"/>
      <c r="D27" s="4" t="s">
        <v>10</v>
      </c>
    </row>
    <row r="28" spans="1:4" x14ac:dyDescent="0.2">
      <c r="A28" s="5" t="s">
        <v>11</v>
      </c>
      <c r="B28" s="6" t="s">
        <v>28</v>
      </c>
      <c r="C28" s="10">
        <f>1/12</f>
        <v>8.3333333333333329E-2</v>
      </c>
      <c r="D28" s="7">
        <f>TRUNC($D$20*C28,2)</f>
        <v>924.82</v>
      </c>
    </row>
    <row r="29" spans="1:4" x14ac:dyDescent="0.2">
      <c r="A29" s="5" t="s">
        <v>13</v>
      </c>
      <c r="B29" s="6" t="s">
        <v>29</v>
      </c>
      <c r="C29" s="10">
        <f>(1/12)*(4/3)</f>
        <v>0.1111111111111111</v>
      </c>
      <c r="D29" s="7">
        <f>TRUNC($D$20*C29,2)</f>
        <v>1233.0899999999999</v>
      </c>
    </row>
    <row r="30" spans="1:4" ht="12.75" customHeight="1" x14ac:dyDescent="0.2">
      <c r="A30" s="208" t="s">
        <v>23</v>
      </c>
      <c r="B30" s="208"/>
      <c r="C30" s="208"/>
      <c r="D30" s="11">
        <f>SUM(D28:D29)</f>
        <v>2157.91</v>
      </c>
    </row>
    <row r="33" spans="1:4" ht="12.75" customHeight="1" x14ac:dyDescent="0.2">
      <c r="A33" s="211" t="s">
        <v>30</v>
      </c>
      <c r="B33" s="211"/>
      <c r="C33" s="211"/>
      <c r="D33" s="211"/>
    </row>
    <row r="35" spans="1:4" x14ac:dyDescent="0.2">
      <c r="A35" s="4" t="s">
        <v>31</v>
      </c>
      <c r="B35" s="4" t="s">
        <v>32</v>
      </c>
      <c r="C35" s="4" t="s">
        <v>33</v>
      </c>
      <c r="D35" s="4" t="s">
        <v>10</v>
      </c>
    </row>
    <row r="36" spans="1:4" x14ac:dyDescent="0.2">
      <c r="A36" s="5" t="s">
        <v>11</v>
      </c>
      <c r="B36" s="6" t="s">
        <v>34</v>
      </c>
      <c r="C36" s="12">
        <v>0.2</v>
      </c>
      <c r="D36" s="7">
        <f t="shared" ref="D36:D43" si="0">TRUNC(($D$20+$D$30)*C36,2)</f>
        <v>2651.16</v>
      </c>
    </row>
    <row r="37" spans="1:4" x14ac:dyDescent="0.2">
      <c r="A37" s="5" t="s">
        <v>13</v>
      </c>
      <c r="B37" s="6" t="s">
        <v>35</v>
      </c>
      <c r="C37" s="12">
        <v>2.5000000000000001E-2</v>
      </c>
      <c r="D37" s="7">
        <f t="shared" si="0"/>
        <v>331.39</v>
      </c>
    </row>
    <row r="38" spans="1:4" x14ac:dyDescent="0.2">
      <c r="A38" s="5" t="s">
        <v>15</v>
      </c>
      <c r="B38" s="6" t="s">
        <v>36</v>
      </c>
      <c r="C38" s="163">
        <v>0.03</v>
      </c>
      <c r="D38" s="7">
        <f t="shared" si="0"/>
        <v>397.67</v>
      </c>
    </row>
    <row r="39" spans="1:4" x14ac:dyDescent="0.2">
      <c r="A39" s="5" t="s">
        <v>17</v>
      </c>
      <c r="B39" s="6" t="s">
        <v>37</v>
      </c>
      <c r="C39" s="12">
        <v>1.4999999999999999E-2</v>
      </c>
      <c r="D39" s="7">
        <f t="shared" si="0"/>
        <v>198.83</v>
      </c>
    </row>
    <row r="40" spans="1:4" x14ac:dyDescent="0.2">
      <c r="A40" s="5" t="s">
        <v>19</v>
      </c>
      <c r="B40" s="6" t="s">
        <v>38</v>
      </c>
      <c r="C40" s="12">
        <v>0.01</v>
      </c>
      <c r="D40" s="7">
        <f t="shared" si="0"/>
        <v>132.55000000000001</v>
      </c>
    </row>
    <row r="41" spans="1:4" x14ac:dyDescent="0.2">
      <c r="A41" s="5" t="s">
        <v>39</v>
      </c>
      <c r="B41" s="6" t="s">
        <v>40</v>
      </c>
      <c r="C41" s="12">
        <v>6.0000000000000001E-3</v>
      </c>
      <c r="D41" s="7">
        <f t="shared" si="0"/>
        <v>79.53</v>
      </c>
    </row>
    <row r="42" spans="1:4" x14ac:dyDescent="0.2">
      <c r="A42" s="5" t="s">
        <v>21</v>
      </c>
      <c r="B42" s="6" t="s">
        <v>41</v>
      </c>
      <c r="C42" s="12">
        <v>2E-3</v>
      </c>
      <c r="D42" s="7">
        <f t="shared" si="0"/>
        <v>26.51</v>
      </c>
    </row>
    <row r="43" spans="1:4" x14ac:dyDescent="0.2">
      <c r="A43" s="5" t="s">
        <v>42</v>
      </c>
      <c r="B43" s="6" t="s">
        <v>43</v>
      </c>
      <c r="C43" s="12">
        <v>0.08</v>
      </c>
      <c r="D43" s="7">
        <f t="shared" si="0"/>
        <v>1060.46</v>
      </c>
    </row>
    <row r="44" spans="1:4" ht="12.75" customHeight="1" x14ac:dyDescent="0.2">
      <c r="A44" s="208" t="s">
        <v>44</v>
      </c>
      <c r="B44" s="208"/>
      <c r="C44" s="13">
        <f>SUM(C36:C43)</f>
        <v>0.36800000000000005</v>
      </c>
      <c r="D44" s="11">
        <f>SUM(D36:D43)</f>
        <v>4878.1000000000004</v>
      </c>
    </row>
    <row r="47" spans="1:4" x14ac:dyDescent="0.2">
      <c r="A47" s="210" t="s">
        <v>45</v>
      </c>
      <c r="B47" s="210"/>
      <c r="C47" s="210"/>
      <c r="D47" s="210"/>
    </row>
    <row r="49" spans="1:4" ht="12.75" customHeight="1" x14ac:dyDescent="0.2">
      <c r="A49" s="4" t="s">
        <v>46</v>
      </c>
      <c r="B49" s="212" t="s">
        <v>47</v>
      </c>
      <c r="C49" s="212"/>
      <c r="D49" s="4" t="s">
        <v>10</v>
      </c>
    </row>
    <row r="50" spans="1:4" ht="12.75" customHeight="1" x14ac:dyDescent="0.2">
      <c r="A50" s="5" t="s">
        <v>11</v>
      </c>
      <c r="B50" s="209" t="s">
        <v>48</v>
      </c>
      <c r="C50" s="209"/>
      <c r="D50" s="7"/>
    </row>
    <row r="51" spans="1:4" ht="12.75" customHeight="1" x14ac:dyDescent="0.2">
      <c r="A51" s="5" t="s">
        <v>13</v>
      </c>
      <c r="B51" s="209" t="s">
        <v>49</v>
      </c>
      <c r="C51" s="209"/>
      <c r="D51" s="144">
        <v>0</v>
      </c>
    </row>
    <row r="52" spans="1:4" ht="12.75" customHeight="1" x14ac:dyDescent="0.2">
      <c r="A52" s="5" t="s">
        <v>15</v>
      </c>
      <c r="B52" s="209" t="s">
        <v>50</v>
      </c>
      <c r="C52" s="209"/>
      <c r="D52" s="7"/>
    </row>
    <row r="53" spans="1:4" ht="12.75" customHeight="1" x14ac:dyDescent="0.2">
      <c r="A53" s="5" t="s">
        <v>17</v>
      </c>
      <c r="B53" s="209" t="s">
        <v>51</v>
      </c>
      <c r="C53" s="209"/>
      <c r="D53" s="7">
        <v>0</v>
      </c>
    </row>
    <row r="54" spans="1:4" ht="12.75" customHeight="1" x14ac:dyDescent="0.2">
      <c r="A54" s="5" t="s">
        <v>19</v>
      </c>
      <c r="B54" s="209" t="s">
        <v>52</v>
      </c>
      <c r="C54" s="209"/>
      <c r="D54" s="7"/>
    </row>
    <row r="55" spans="1:4" ht="12.75" customHeight="1" x14ac:dyDescent="0.2">
      <c r="A55" s="208" t="s">
        <v>23</v>
      </c>
      <c r="B55" s="208"/>
      <c r="C55" s="208"/>
      <c r="D55" s="11">
        <f>SUM(D50:D54)</f>
        <v>0</v>
      </c>
    </row>
    <row r="58" spans="1:4" x14ac:dyDescent="0.2">
      <c r="A58" s="210" t="s">
        <v>53</v>
      </c>
      <c r="B58" s="210"/>
      <c r="C58" s="210"/>
      <c r="D58" s="210"/>
    </row>
    <row r="60" spans="1:4" ht="12.75" customHeight="1" x14ac:dyDescent="0.2">
      <c r="A60" s="4">
        <v>2</v>
      </c>
      <c r="B60" s="212" t="s">
        <v>54</v>
      </c>
      <c r="C60" s="212"/>
      <c r="D60" s="4" t="s">
        <v>10</v>
      </c>
    </row>
    <row r="61" spans="1:4" ht="12.75" customHeight="1" x14ac:dyDescent="0.2">
      <c r="A61" s="5" t="s">
        <v>26</v>
      </c>
      <c r="B61" s="209" t="s">
        <v>27</v>
      </c>
      <c r="C61" s="209"/>
      <c r="D61" s="14">
        <f>D30</f>
        <v>2157.91</v>
      </c>
    </row>
    <row r="62" spans="1:4" ht="12.75" customHeight="1" x14ac:dyDescent="0.2">
      <c r="A62" s="5" t="s">
        <v>31</v>
      </c>
      <c r="B62" s="209" t="s">
        <v>32</v>
      </c>
      <c r="C62" s="209"/>
      <c r="D62" s="14">
        <f>D44</f>
        <v>4878.1000000000004</v>
      </c>
    </row>
    <row r="63" spans="1:4" ht="12.75" customHeight="1" x14ac:dyDescent="0.2">
      <c r="A63" s="5" t="s">
        <v>46</v>
      </c>
      <c r="B63" s="209" t="s">
        <v>47</v>
      </c>
      <c r="C63" s="209"/>
      <c r="D63" s="14">
        <f>D55</f>
        <v>0</v>
      </c>
    </row>
    <row r="64" spans="1:4" ht="12.75" customHeight="1" x14ac:dyDescent="0.2">
      <c r="A64" s="208" t="s">
        <v>23</v>
      </c>
      <c r="B64" s="208"/>
      <c r="C64" s="208"/>
      <c r="D64" s="11">
        <f>SUM(D61:D63)</f>
        <v>7036.01</v>
      </c>
    </row>
    <row r="65" spans="1:5" x14ac:dyDescent="0.2">
      <c r="A65" s="15"/>
    </row>
    <row r="67" spans="1:5" x14ac:dyDescent="0.2">
      <c r="A67" s="204" t="s">
        <v>55</v>
      </c>
      <c r="B67" s="204"/>
      <c r="C67" s="204"/>
      <c r="D67" s="204"/>
    </row>
    <row r="69" spans="1:5" ht="12.75" customHeight="1" x14ac:dyDescent="0.2">
      <c r="A69" s="4">
        <v>3</v>
      </c>
      <c r="B69" s="212" t="s">
        <v>56</v>
      </c>
      <c r="C69" s="212"/>
      <c r="D69" s="4" t="s">
        <v>10</v>
      </c>
    </row>
    <row r="70" spans="1:5" x14ac:dyDescent="0.2">
      <c r="A70" s="5" t="s">
        <v>11</v>
      </c>
      <c r="B70" s="16" t="s">
        <v>57</v>
      </c>
      <c r="C70" s="12">
        <f>TRUNC(((1/12)*5%),4)</f>
        <v>4.1000000000000003E-3</v>
      </c>
      <c r="D70" s="7">
        <f>TRUNC($D$20*C70,2)</f>
        <v>45.5</v>
      </c>
    </row>
    <row r="71" spans="1:5" x14ac:dyDescent="0.2">
      <c r="A71" s="5" t="s">
        <v>13</v>
      </c>
      <c r="B71" s="16" t="s">
        <v>58</v>
      </c>
      <c r="C71" s="12">
        <v>0.08</v>
      </c>
      <c r="D71" s="17">
        <f>TRUNC(D70*C71,2)</f>
        <v>3.64</v>
      </c>
      <c r="E71" s="18"/>
    </row>
    <row r="72" spans="1:5" x14ac:dyDescent="0.2">
      <c r="A72" s="5" t="s">
        <v>15</v>
      </c>
      <c r="B72" s="16" t="s">
        <v>59</v>
      </c>
      <c r="C72" s="12">
        <f>TRUNC(8%*5%*40%,4)</f>
        <v>1.6000000000000001E-3</v>
      </c>
      <c r="D72" s="7">
        <f>TRUNC($D$20*C72,2)</f>
        <v>17.75</v>
      </c>
    </row>
    <row r="73" spans="1:5" x14ac:dyDescent="0.2">
      <c r="A73" s="5" t="s">
        <v>17</v>
      </c>
      <c r="B73" s="16" t="s">
        <v>60</v>
      </c>
      <c r="C73" s="12">
        <f>TRUNC(((7/30)/12)*95%,4)</f>
        <v>1.84E-2</v>
      </c>
      <c r="D73" s="17">
        <f>TRUNC($D$20*C73,2)</f>
        <v>204.2</v>
      </c>
      <c r="E73" s="19"/>
    </row>
    <row r="74" spans="1:5" ht="12.75" customHeight="1" x14ac:dyDescent="0.2">
      <c r="A74" s="5" t="s">
        <v>19</v>
      </c>
      <c r="B74" s="16" t="s">
        <v>61</v>
      </c>
      <c r="C74" s="12">
        <f>C44</f>
        <v>0.36800000000000005</v>
      </c>
      <c r="D74" s="17">
        <f>TRUNC(D73*C74,2)</f>
        <v>75.14</v>
      </c>
      <c r="E74" s="18"/>
    </row>
    <row r="75" spans="1:5" x14ac:dyDescent="0.2">
      <c r="A75" s="5" t="s">
        <v>39</v>
      </c>
      <c r="B75" s="16" t="s">
        <v>62</v>
      </c>
      <c r="C75" s="12">
        <f>TRUNC(8%*95%*40%,4)</f>
        <v>3.04E-2</v>
      </c>
      <c r="D75" s="7">
        <f>TRUNC($D$20*C75,2)</f>
        <v>337.37</v>
      </c>
    </row>
    <row r="76" spans="1:5" ht="12.75" customHeight="1" x14ac:dyDescent="0.2">
      <c r="A76" s="208" t="s">
        <v>23</v>
      </c>
      <c r="B76" s="208"/>
      <c r="C76" s="208"/>
      <c r="D76" s="11">
        <f>SUM(D70:D75)</f>
        <v>683.59999999999991</v>
      </c>
    </row>
    <row r="79" spans="1:5" x14ac:dyDescent="0.2">
      <c r="A79" s="204" t="s">
        <v>63</v>
      </c>
      <c r="B79" s="204"/>
      <c r="C79" s="204"/>
      <c r="D79" s="204"/>
    </row>
    <row r="82" spans="1:4" x14ac:dyDescent="0.2">
      <c r="A82" s="210" t="s">
        <v>64</v>
      </c>
      <c r="B82" s="210"/>
      <c r="C82" s="210"/>
      <c r="D82" s="210"/>
    </row>
    <row r="83" spans="1:4" x14ac:dyDescent="0.2">
      <c r="A83" s="9"/>
    </row>
    <row r="84" spans="1:4" ht="12.75" customHeight="1" x14ac:dyDescent="0.2">
      <c r="A84" s="4" t="s">
        <v>65</v>
      </c>
      <c r="B84" s="212" t="s">
        <v>66</v>
      </c>
      <c r="C84" s="212"/>
      <c r="D84" s="4" t="s">
        <v>10</v>
      </c>
    </row>
    <row r="85" spans="1:4" x14ac:dyDescent="0.2">
      <c r="A85" s="5" t="s">
        <v>11</v>
      </c>
      <c r="B85" s="6" t="s">
        <v>67</v>
      </c>
      <c r="C85" s="12">
        <f>TRUNC(((1+1/3)/12)/12,4)</f>
        <v>9.1999999999999998E-3</v>
      </c>
      <c r="D85" s="7">
        <f t="shared" ref="D85:D90" si="1">TRUNC(($D$20+$D$64+$D$76)*C85,2)</f>
        <v>173.12</v>
      </c>
    </row>
    <row r="86" spans="1:4" x14ac:dyDescent="0.2">
      <c r="A86" s="5" t="s">
        <v>13</v>
      </c>
      <c r="B86" s="6" t="s">
        <v>68</v>
      </c>
      <c r="C86" s="12">
        <f>TRUNC(((2/30)/12),4)</f>
        <v>5.4999999999999997E-3</v>
      </c>
      <c r="D86" s="7">
        <f t="shared" si="1"/>
        <v>103.49</v>
      </c>
    </row>
    <row r="87" spans="1:4" x14ac:dyDescent="0.2">
      <c r="A87" s="5" t="s">
        <v>15</v>
      </c>
      <c r="B87" s="6" t="s">
        <v>69</v>
      </c>
      <c r="C87" s="12">
        <f>TRUNC(((5/30)/12)*2%,4)</f>
        <v>2.0000000000000001E-4</v>
      </c>
      <c r="D87" s="7">
        <f t="shared" si="1"/>
        <v>3.76</v>
      </c>
    </row>
    <row r="88" spans="1:4" x14ac:dyDescent="0.2">
      <c r="A88" s="5" t="s">
        <v>17</v>
      </c>
      <c r="B88" s="6" t="s">
        <v>70</v>
      </c>
      <c r="C88" s="12">
        <f>TRUNC(((15/30)/12)*8%,4)</f>
        <v>3.3E-3</v>
      </c>
      <c r="D88" s="7">
        <f t="shared" si="1"/>
        <v>62.09</v>
      </c>
    </row>
    <row r="89" spans="1:4" x14ac:dyDescent="0.2">
      <c r="A89" s="5" t="s">
        <v>19</v>
      </c>
      <c r="B89" s="6" t="s">
        <v>71</v>
      </c>
      <c r="C89" s="12">
        <f>((1+1/3)/12)*3%*(4/12)</f>
        <v>1.1111111111111109E-3</v>
      </c>
      <c r="D89" s="7">
        <f t="shared" si="1"/>
        <v>20.9</v>
      </c>
    </row>
    <row r="90" spans="1:4" x14ac:dyDescent="0.2">
      <c r="A90" s="5" t="s">
        <v>39</v>
      </c>
      <c r="B90" s="6" t="s">
        <v>72</v>
      </c>
      <c r="C90" s="12">
        <v>1.3899999999999999E-2</v>
      </c>
      <c r="D90" s="7">
        <f t="shared" si="1"/>
        <v>261.56</v>
      </c>
    </row>
    <row r="91" spans="1:4" ht="12.75" customHeight="1" x14ac:dyDescent="0.2">
      <c r="A91" s="208" t="s">
        <v>44</v>
      </c>
      <c r="B91" s="208"/>
      <c r="C91" s="208"/>
      <c r="D91" s="11">
        <f>SUM(D85:D90)</f>
        <v>624.92000000000007</v>
      </c>
    </row>
    <row r="94" spans="1:4" x14ac:dyDescent="0.2">
      <c r="A94" s="210" t="s">
        <v>73</v>
      </c>
      <c r="B94" s="210"/>
      <c r="C94" s="210"/>
      <c r="D94" s="210"/>
    </row>
    <row r="95" spans="1:4" x14ac:dyDescent="0.2">
      <c r="A95" s="9"/>
    </row>
    <row r="96" spans="1:4" ht="12.75" customHeight="1" x14ac:dyDescent="0.2">
      <c r="A96" s="4" t="s">
        <v>74</v>
      </c>
      <c r="B96" s="212" t="s">
        <v>75</v>
      </c>
      <c r="C96" s="212"/>
      <c r="D96" s="4" t="s">
        <v>10</v>
      </c>
    </row>
    <row r="97" spans="1:5" ht="12.75" customHeight="1" x14ac:dyDescent="0.2">
      <c r="A97" s="5" t="s">
        <v>11</v>
      </c>
      <c r="B97" s="209" t="s">
        <v>76</v>
      </c>
      <c r="C97" s="209"/>
      <c r="D97" s="7">
        <f>((D20+D64+D76)/220)*22*0</f>
        <v>0</v>
      </c>
      <c r="E97" s="19"/>
    </row>
    <row r="98" spans="1:5" ht="12.75" customHeight="1" x14ac:dyDescent="0.2">
      <c r="A98" s="208" t="s">
        <v>23</v>
      </c>
      <c r="B98" s="208"/>
      <c r="C98" s="208"/>
      <c r="D98" s="11">
        <f>SUM(D97)</f>
        <v>0</v>
      </c>
    </row>
    <row r="101" spans="1:5" x14ac:dyDescent="0.2">
      <c r="A101" s="210" t="s">
        <v>77</v>
      </c>
      <c r="B101" s="210"/>
      <c r="C101" s="210"/>
      <c r="D101" s="210"/>
    </row>
    <row r="102" spans="1:5" x14ac:dyDescent="0.2">
      <c r="A102" s="9"/>
    </row>
    <row r="103" spans="1:5" ht="12.75" customHeight="1" x14ac:dyDescent="0.2">
      <c r="A103" s="4">
        <v>4</v>
      </c>
      <c r="B103" s="208" t="s">
        <v>78</v>
      </c>
      <c r="C103" s="208"/>
      <c r="D103" s="4" t="s">
        <v>10</v>
      </c>
    </row>
    <row r="104" spans="1:5" ht="12.75" customHeight="1" x14ac:dyDescent="0.2">
      <c r="A104" s="5" t="s">
        <v>65</v>
      </c>
      <c r="B104" s="209" t="s">
        <v>66</v>
      </c>
      <c r="C104" s="209"/>
      <c r="D104" s="14">
        <f>D91</f>
        <v>624.92000000000007</v>
      </c>
    </row>
    <row r="105" spans="1:5" ht="12.75" customHeight="1" x14ac:dyDescent="0.2">
      <c r="A105" s="5" t="s">
        <v>74</v>
      </c>
      <c r="B105" s="209" t="s">
        <v>75</v>
      </c>
      <c r="C105" s="209"/>
      <c r="D105" s="14">
        <f>D98</f>
        <v>0</v>
      </c>
    </row>
    <row r="106" spans="1:5" ht="12.75" customHeight="1" x14ac:dyDescent="0.2">
      <c r="A106" s="208" t="s">
        <v>23</v>
      </c>
      <c r="B106" s="208"/>
      <c r="C106" s="208"/>
      <c r="D106" s="11">
        <f>SUM(D104:D105)</f>
        <v>624.92000000000007</v>
      </c>
    </row>
    <row r="109" spans="1:5" x14ac:dyDescent="0.2">
      <c r="A109" s="204" t="s">
        <v>79</v>
      </c>
      <c r="B109" s="204"/>
      <c r="C109" s="204"/>
      <c r="D109" s="204"/>
    </row>
    <row r="111" spans="1:5" ht="12.75" customHeight="1" x14ac:dyDescent="0.2">
      <c r="A111" s="4">
        <v>5</v>
      </c>
      <c r="B111" s="213" t="s">
        <v>80</v>
      </c>
      <c r="C111" s="213"/>
      <c r="D111" s="4" t="s">
        <v>10</v>
      </c>
    </row>
    <row r="112" spans="1:5" x14ac:dyDescent="0.2">
      <c r="A112" s="5" t="s">
        <v>11</v>
      </c>
      <c r="B112" s="6" t="s">
        <v>81</v>
      </c>
      <c r="C112" s="6"/>
      <c r="D112" s="7" t="s">
        <v>194</v>
      </c>
    </row>
    <row r="113" spans="1:8" x14ac:dyDescent="0.2">
      <c r="A113" s="5" t="s">
        <v>13</v>
      </c>
      <c r="B113" s="6" t="s">
        <v>209</v>
      </c>
      <c r="C113" s="6"/>
      <c r="D113" s="144">
        <f>2955/12</f>
        <v>246.25</v>
      </c>
      <c r="G113" s="143"/>
      <c r="H113" s="143"/>
    </row>
    <row r="114" spans="1:8" x14ac:dyDescent="0.2">
      <c r="A114" s="5" t="s">
        <v>15</v>
      </c>
      <c r="B114" s="6" t="s">
        <v>82</v>
      </c>
      <c r="C114" s="6"/>
      <c r="D114" s="144">
        <f>EPIs!F13</f>
        <v>9.2516666666666652</v>
      </c>
      <c r="G114" s="143"/>
    </row>
    <row r="115" spans="1:8" ht="12.75" customHeight="1" x14ac:dyDescent="0.2">
      <c r="A115" s="208" t="s">
        <v>44</v>
      </c>
      <c r="B115" s="208"/>
      <c r="C115" s="208"/>
      <c r="D115" s="8">
        <f>SUM(D112:D114)</f>
        <v>255.50166666666667</v>
      </c>
      <c r="G115" s="143"/>
    </row>
    <row r="116" spans="1:8" x14ac:dyDescent="0.2">
      <c r="G116" s="143"/>
    </row>
    <row r="117" spans="1:8" x14ac:dyDescent="0.2">
      <c r="G117" s="143"/>
    </row>
    <row r="118" spans="1:8" x14ac:dyDescent="0.2">
      <c r="A118" s="204" t="s">
        <v>83</v>
      </c>
      <c r="B118" s="204"/>
      <c r="C118" s="204"/>
      <c r="D118" s="204"/>
    </row>
    <row r="119" spans="1:8" x14ac:dyDescent="0.2">
      <c r="G119" s="143"/>
      <c r="H119" s="143"/>
    </row>
    <row r="120" spans="1:8" x14ac:dyDescent="0.2">
      <c r="A120" s="4">
        <v>6</v>
      </c>
      <c r="B120" s="20" t="s">
        <v>84</v>
      </c>
      <c r="C120" s="4" t="s">
        <v>33</v>
      </c>
      <c r="D120" s="4" t="s">
        <v>10</v>
      </c>
    </row>
    <row r="121" spans="1:8" x14ac:dyDescent="0.2">
      <c r="A121" s="5" t="s">
        <v>11</v>
      </c>
      <c r="B121" s="6" t="s">
        <v>85</v>
      </c>
      <c r="C121" s="195">
        <v>7.3749999999999996E-2</v>
      </c>
      <c r="D121" s="14">
        <f>D138*C121</f>
        <v>1452.7217229166665</v>
      </c>
    </row>
    <row r="122" spans="1:8" x14ac:dyDescent="0.2">
      <c r="A122" s="5" t="s">
        <v>13</v>
      </c>
      <c r="B122" s="6" t="s">
        <v>86</v>
      </c>
      <c r="C122" s="12">
        <v>7.3999999999999996E-2</v>
      </c>
      <c r="D122" s="7">
        <f>(D138+D121)*C122</f>
        <v>1565.1476108291665</v>
      </c>
    </row>
    <row r="123" spans="1:8" x14ac:dyDescent="0.2">
      <c r="A123" s="5" t="s">
        <v>15</v>
      </c>
      <c r="B123" s="6" t="s">
        <v>87</v>
      </c>
      <c r="C123" s="10">
        <f>SUM(C124:C126)</f>
        <v>8.6499999999999994E-2</v>
      </c>
      <c r="D123" s="7">
        <f>(D138+D121+D122)*C123/(1-C123)</f>
        <v>2150.9752835639642</v>
      </c>
    </row>
    <row r="124" spans="1:8" x14ac:dyDescent="0.2">
      <c r="A124" s="5"/>
      <c r="B124" s="6" t="s">
        <v>210</v>
      </c>
      <c r="C124" s="12">
        <v>3.6499999999999998E-2</v>
      </c>
      <c r="D124" s="14">
        <f>$D$140*C124</f>
        <v>907.63710499999991</v>
      </c>
    </row>
    <row r="125" spans="1:8" x14ac:dyDescent="0.2">
      <c r="A125" s="5"/>
      <c r="B125" s="6" t="s">
        <v>195</v>
      </c>
      <c r="C125" s="5"/>
      <c r="D125" s="14">
        <f>$D$140*C125</f>
        <v>0</v>
      </c>
    </row>
    <row r="126" spans="1:8" x14ac:dyDescent="0.2">
      <c r="A126" s="5"/>
      <c r="B126" s="6" t="s">
        <v>196</v>
      </c>
      <c r="C126" s="12">
        <v>0.05</v>
      </c>
      <c r="D126" s="14">
        <f>$D$140*C126</f>
        <v>1243.3385000000001</v>
      </c>
    </row>
    <row r="127" spans="1:8" ht="13.5" customHeight="1" x14ac:dyDescent="0.2">
      <c r="A127" s="214" t="s">
        <v>44</v>
      </c>
      <c r="B127" s="214"/>
      <c r="C127" s="21">
        <f>(1+C122)*(1+C121)/(1-C123)-1</f>
        <v>0.26240558292282423</v>
      </c>
      <c r="D127" s="11">
        <f>SUM(D121:D123)</f>
        <v>5168.8446173097973</v>
      </c>
    </row>
    <row r="130" spans="1:5" x14ac:dyDescent="0.2">
      <c r="A130" s="204" t="s">
        <v>88</v>
      </c>
      <c r="B130" s="204"/>
      <c r="C130" s="204"/>
      <c r="D130" s="204"/>
    </row>
    <row r="132" spans="1:5" ht="12.75" customHeight="1" x14ac:dyDescent="0.2">
      <c r="A132" s="4"/>
      <c r="B132" s="208" t="s">
        <v>89</v>
      </c>
      <c r="C132" s="208"/>
      <c r="D132" s="4" t="s">
        <v>10</v>
      </c>
    </row>
    <row r="133" spans="1:5" ht="12.75" customHeight="1" x14ac:dyDescent="0.2">
      <c r="A133" s="4" t="s">
        <v>11</v>
      </c>
      <c r="B133" s="209" t="s">
        <v>8</v>
      </c>
      <c r="C133" s="209"/>
      <c r="D133" s="22">
        <f>D20</f>
        <v>11097.89</v>
      </c>
    </row>
    <row r="134" spans="1:5" ht="12.75" customHeight="1" x14ac:dyDescent="0.2">
      <c r="A134" s="4" t="s">
        <v>13</v>
      </c>
      <c r="B134" s="209" t="s">
        <v>24</v>
      </c>
      <c r="C134" s="209"/>
      <c r="D134" s="22">
        <f>D64</f>
        <v>7036.01</v>
      </c>
    </row>
    <row r="135" spans="1:5" ht="12.75" customHeight="1" x14ac:dyDescent="0.2">
      <c r="A135" s="4" t="s">
        <v>15</v>
      </c>
      <c r="B135" s="209" t="s">
        <v>55</v>
      </c>
      <c r="C135" s="209"/>
      <c r="D135" s="22">
        <f>D76</f>
        <v>683.59999999999991</v>
      </c>
    </row>
    <row r="136" spans="1:5" ht="12.75" customHeight="1" x14ac:dyDescent="0.2">
      <c r="A136" s="4" t="s">
        <v>17</v>
      </c>
      <c r="B136" s="209" t="s">
        <v>63</v>
      </c>
      <c r="C136" s="209"/>
      <c r="D136" s="22">
        <f>D106</f>
        <v>624.92000000000007</v>
      </c>
    </row>
    <row r="137" spans="1:5" ht="12.75" customHeight="1" x14ac:dyDescent="0.2">
      <c r="A137" s="4" t="s">
        <v>19</v>
      </c>
      <c r="B137" s="209" t="s">
        <v>79</v>
      </c>
      <c r="C137" s="209"/>
      <c r="D137" s="22">
        <f>D115</f>
        <v>255.50166666666667</v>
      </c>
    </row>
    <row r="138" spans="1:5" ht="12.75" customHeight="1" x14ac:dyDescent="0.2">
      <c r="A138" s="208" t="s">
        <v>90</v>
      </c>
      <c r="B138" s="208"/>
      <c r="C138" s="208"/>
      <c r="D138" s="23">
        <f>SUM(D133:D137)</f>
        <v>19697.921666666665</v>
      </c>
    </row>
    <row r="139" spans="1:5" ht="12.75" customHeight="1" x14ac:dyDescent="0.2">
      <c r="A139" s="4" t="s">
        <v>39</v>
      </c>
      <c r="B139" s="209" t="s">
        <v>91</v>
      </c>
      <c r="C139" s="209"/>
      <c r="D139" s="24">
        <f>D127</f>
        <v>5168.8446173097973</v>
      </c>
    </row>
    <row r="140" spans="1:5" ht="12.75" customHeight="1" x14ac:dyDescent="0.2">
      <c r="A140" s="208" t="s">
        <v>92</v>
      </c>
      <c r="B140" s="208"/>
      <c r="C140" s="208"/>
      <c r="D140" s="23">
        <f>ROUND(SUM(D138:D139),2)</f>
        <v>24866.77</v>
      </c>
    </row>
    <row r="142" spans="1:5" x14ac:dyDescent="0.2">
      <c r="E142" s="142"/>
    </row>
  </sheetData>
  <mergeCells count="67">
    <mergeCell ref="B139:C139"/>
    <mergeCell ref="A140:C140"/>
    <mergeCell ref="B134:C134"/>
    <mergeCell ref="B135:C135"/>
    <mergeCell ref="B136:C136"/>
    <mergeCell ref="B137:C137"/>
    <mergeCell ref="A138:C138"/>
    <mergeCell ref="A118:D118"/>
    <mergeCell ref="A127:B127"/>
    <mergeCell ref="A130:D130"/>
    <mergeCell ref="B132:C132"/>
    <mergeCell ref="B133:C133"/>
    <mergeCell ref="B105:C105"/>
    <mergeCell ref="A106:C106"/>
    <mergeCell ref="A109:D109"/>
    <mergeCell ref="B111:C111"/>
    <mergeCell ref="A115:C115"/>
    <mergeCell ref="B97:C97"/>
    <mergeCell ref="A98:C98"/>
    <mergeCell ref="A101:D101"/>
    <mergeCell ref="B103:C103"/>
    <mergeCell ref="B104:C104"/>
    <mergeCell ref="A82:D82"/>
    <mergeCell ref="B84:C84"/>
    <mergeCell ref="A91:C91"/>
    <mergeCell ref="A94:D94"/>
    <mergeCell ref="B96:C96"/>
    <mergeCell ref="A64:C64"/>
    <mergeCell ref="A67:D67"/>
    <mergeCell ref="B69:C69"/>
    <mergeCell ref="A76:C76"/>
    <mergeCell ref="A79:D79"/>
    <mergeCell ref="A58:D58"/>
    <mergeCell ref="B60:C60"/>
    <mergeCell ref="B61:C61"/>
    <mergeCell ref="B62:C62"/>
    <mergeCell ref="B63:C63"/>
    <mergeCell ref="B51:C51"/>
    <mergeCell ref="B52:C52"/>
    <mergeCell ref="B53:C53"/>
    <mergeCell ref="B54:C54"/>
    <mergeCell ref="A55:C55"/>
    <mergeCell ref="A33:D33"/>
    <mergeCell ref="A44:B44"/>
    <mergeCell ref="A47:D47"/>
    <mergeCell ref="B49:C49"/>
    <mergeCell ref="B50:C50"/>
    <mergeCell ref="A20:C20"/>
    <mergeCell ref="A23:D23"/>
    <mergeCell ref="A25:D25"/>
    <mergeCell ref="B27:C27"/>
    <mergeCell ref="A30:C30"/>
    <mergeCell ref="B15:C15"/>
    <mergeCell ref="B16:C16"/>
    <mergeCell ref="B17:C17"/>
    <mergeCell ref="B18:C18"/>
    <mergeCell ref="B19:C19"/>
    <mergeCell ref="C8:D8"/>
    <mergeCell ref="A10:D10"/>
    <mergeCell ref="B12:C12"/>
    <mergeCell ref="B13:C13"/>
    <mergeCell ref="B14:C14"/>
    <mergeCell ref="A1:D1"/>
    <mergeCell ref="A3:D3"/>
    <mergeCell ref="C5:D5"/>
    <mergeCell ref="C6:D6"/>
    <mergeCell ref="C7:D7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4" max="16383" man="1"/>
    <brk id="12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42"/>
  <sheetViews>
    <sheetView topLeftCell="B114" zoomScale="115" zoomScaleNormal="115" workbookViewId="0">
      <selection sqref="A1:D140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9.33203125" style="1"/>
    <col min="7" max="8" width="12.1640625" style="1" bestFit="1" customWidth="1"/>
    <col min="9" max="1022" width="9.33203125" style="1"/>
  </cols>
  <sheetData>
    <row r="1" spans="1:4" ht="15.75" x14ac:dyDescent="0.25">
      <c r="A1" s="203" t="s">
        <v>2</v>
      </c>
      <c r="B1" s="203"/>
      <c r="C1" s="203"/>
      <c r="D1" s="203"/>
    </row>
    <row r="3" spans="1:4" x14ac:dyDescent="0.2">
      <c r="A3" s="204" t="s">
        <v>3</v>
      </c>
      <c r="B3" s="204"/>
      <c r="C3" s="204"/>
      <c r="D3" s="204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4</v>
      </c>
      <c r="C5" s="205" t="s">
        <v>215</v>
      </c>
      <c r="D5" s="205"/>
    </row>
    <row r="6" spans="1:4" x14ac:dyDescent="0.2">
      <c r="A6" s="3">
        <v>2</v>
      </c>
      <c r="B6" s="3" t="s">
        <v>5</v>
      </c>
      <c r="C6" s="206"/>
      <c r="D6" s="206"/>
    </row>
    <row r="7" spans="1:4" x14ac:dyDescent="0.2">
      <c r="A7" s="3">
        <v>3</v>
      </c>
      <c r="B7" s="3" t="s">
        <v>6</v>
      </c>
      <c r="C7" s="205" t="s">
        <v>216</v>
      </c>
      <c r="D7" s="205"/>
    </row>
    <row r="8" spans="1:4" x14ac:dyDescent="0.2">
      <c r="A8" s="3">
        <v>4</v>
      </c>
      <c r="B8" s="3" t="s">
        <v>7</v>
      </c>
      <c r="C8" s="207">
        <v>44287</v>
      </c>
      <c r="D8" s="205"/>
    </row>
    <row r="10" spans="1:4" x14ac:dyDescent="0.2">
      <c r="A10" s="204" t="s">
        <v>8</v>
      </c>
      <c r="B10" s="204"/>
      <c r="C10" s="204"/>
      <c r="D10" s="204"/>
    </row>
    <row r="12" spans="1:4" ht="12.75" customHeight="1" x14ac:dyDescent="0.2">
      <c r="A12" s="178">
        <v>1</v>
      </c>
      <c r="B12" s="208" t="s">
        <v>9</v>
      </c>
      <c r="C12" s="208"/>
      <c r="D12" s="178" t="s">
        <v>10</v>
      </c>
    </row>
    <row r="13" spans="1:4" ht="12.75" customHeight="1" x14ac:dyDescent="0.2">
      <c r="A13" s="5" t="s">
        <v>11</v>
      </c>
      <c r="B13" s="209" t="s">
        <v>12</v>
      </c>
      <c r="C13" s="209"/>
      <c r="D13" s="144">
        <v>11097.89</v>
      </c>
    </row>
    <row r="14" spans="1:4" ht="12.75" customHeight="1" x14ac:dyDescent="0.2">
      <c r="A14" s="5" t="s">
        <v>13</v>
      </c>
      <c r="B14" s="209" t="s">
        <v>14</v>
      </c>
      <c r="C14" s="209"/>
      <c r="D14" s="7" t="s">
        <v>194</v>
      </c>
    </row>
    <row r="15" spans="1:4" ht="12.75" customHeight="1" x14ac:dyDescent="0.2">
      <c r="A15" s="5" t="s">
        <v>15</v>
      </c>
      <c r="B15" s="209" t="s">
        <v>16</v>
      </c>
      <c r="C15" s="209"/>
      <c r="D15" s="7" t="s">
        <v>194</v>
      </c>
    </row>
    <row r="16" spans="1:4" ht="12.75" customHeight="1" x14ac:dyDescent="0.2">
      <c r="A16" s="5" t="s">
        <v>17</v>
      </c>
      <c r="B16" s="209" t="s">
        <v>18</v>
      </c>
      <c r="C16" s="209"/>
      <c r="D16" s="7" t="s">
        <v>194</v>
      </c>
    </row>
    <row r="17" spans="1:4" ht="12.75" customHeight="1" x14ac:dyDescent="0.2">
      <c r="A17" s="5" t="s">
        <v>19</v>
      </c>
      <c r="B17" s="209" t="s">
        <v>20</v>
      </c>
      <c r="C17" s="209"/>
      <c r="D17" s="7" t="s">
        <v>194</v>
      </c>
    </row>
    <row r="18" spans="1:4" x14ac:dyDescent="0.2">
      <c r="A18" s="5"/>
      <c r="B18" s="209"/>
      <c r="C18" s="209"/>
      <c r="D18" s="7"/>
    </row>
    <row r="19" spans="1:4" ht="12.75" customHeight="1" x14ac:dyDescent="0.2">
      <c r="A19" s="5" t="s">
        <v>21</v>
      </c>
      <c r="B19" s="209" t="s">
        <v>22</v>
      </c>
      <c r="C19" s="209"/>
      <c r="D19" s="7"/>
    </row>
    <row r="20" spans="1:4" ht="12.75" customHeight="1" x14ac:dyDescent="0.2">
      <c r="A20" s="208" t="s">
        <v>23</v>
      </c>
      <c r="B20" s="208"/>
      <c r="C20" s="208"/>
      <c r="D20" s="8">
        <f>SUM(D13:D19)</f>
        <v>11097.89</v>
      </c>
    </row>
    <row r="23" spans="1:4" x14ac:dyDescent="0.2">
      <c r="A23" s="204" t="s">
        <v>24</v>
      </c>
      <c r="B23" s="204"/>
      <c r="C23" s="204"/>
      <c r="D23" s="204"/>
    </row>
    <row r="24" spans="1:4" x14ac:dyDescent="0.2">
      <c r="A24" s="9"/>
    </row>
    <row r="25" spans="1:4" x14ac:dyDescent="0.2">
      <c r="A25" s="210" t="s">
        <v>25</v>
      </c>
      <c r="B25" s="210"/>
      <c r="C25" s="210"/>
      <c r="D25" s="210"/>
    </row>
    <row r="27" spans="1:4" ht="12.75" customHeight="1" x14ac:dyDescent="0.2">
      <c r="A27" s="178" t="s">
        <v>26</v>
      </c>
      <c r="B27" s="208" t="s">
        <v>27</v>
      </c>
      <c r="C27" s="208"/>
      <c r="D27" s="178" t="s">
        <v>10</v>
      </c>
    </row>
    <row r="28" spans="1:4" x14ac:dyDescent="0.2">
      <c r="A28" s="5" t="s">
        <v>11</v>
      </c>
      <c r="B28" s="179" t="s">
        <v>28</v>
      </c>
      <c r="C28" s="10">
        <f>1/12</f>
        <v>8.3333333333333329E-2</v>
      </c>
      <c r="D28" s="7">
        <f>TRUNC($D$20*C28,2)</f>
        <v>924.82</v>
      </c>
    </row>
    <row r="29" spans="1:4" x14ac:dyDescent="0.2">
      <c r="A29" s="5" t="s">
        <v>13</v>
      </c>
      <c r="B29" s="179" t="s">
        <v>29</v>
      </c>
      <c r="C29" s="10">
        <f>(1/12)*(4/3)</f>
        <v>0.1111111111111111</v>
      </c>
      <c r="D29" s="7">
        <f>TRUNC($D$20*C29,2)</f>
        <v>1233.0899999999999</v>
      </c>
    </row>
    <row r="30" spans="1:4" ht="12.75" customHeight="1" x14ac:dyDescent="0.2">
      <c r="A30" s="208" t="s">
        <v>23</v>
      </c>
      <c r="B30" s="208"/>
      <c r="C30" s="208"/>
      <c r="D30" s="11">
        <f>SUM(D28:D29)</f>
        <v>2157.91</v>
      </c>
    </row>
    <row r="33" spans="1:4" ht="12.75" customHeight="1" x14ac:dyDescent="0.2">
      <c r="A33" s="211" t="s">
        <v>30</v>
      </c>
      <c r="B33" s="211"/>
      <c r="C33" s="211"/>
      <c r="D33" s="211"/>
    </row>
    <row r="35" spans="1:4" x14ac:dyDescent="0.2">
      <c r="A35" s="178" t="s">
        <v>31</v>
      </c>
      <c r="B35" s="178" t="s">
        <v>32</v>
      </c>
      <c r="C35" s="178" t="s">
        <v>33</v>
      </c>
      <c r="D35" s="178" t="s">
        <v>10</v>
      </c>
    </row>
    <row r="36" spans="1:4" x14ac:dyDescent="0.2">
      <c r="A36" s="5" t="s">
        <v>11</v>
      </c>
      <c r="B36" s="179" t="s">
        <v>34</v>
      </c>
      <c r="C36" s="12">
        <v>0.2</v>
      </c>
      <c r="D36" s="7">
        <f t="shared" ref="D36:D43" si="0">TRUNC(($D$20+$D$30)*C36,2)</f>
        <v>2651.16</v>
      </c>
    </row>
    <row r="37" spans="1:4" x14ac:dyDescent="0.2">
      <c r="A37" s="5" t="s">
        <v>13</v>
      </c>
      <c r="B37" s="179" t="s">
        <v>35</v>
      </c>
      <c r="C37" s="12">
        <v>2.5000000000000001E-2</v>
      </c>
      <c r="D37" s="7">
        <f t="shared" si="0"/>
        <v>331.39</v>
      </c>
    </row>
    <row r="38" spans="1:4" x14ac:dyDescent="0.2">
      <c r="A38" s="5" t="s">
        <v>15</v>
      </c>
      <c r="B38" s="179" t="s">
        <v>36</v>
      </c>
      <c r="C38" s="163">
        <v>0.03</v>
      </c>
      <c r="D38" s="7">
        <f t="shared" si="0"/>
        <v>397.67</v>
      </c>
    </row>
    <row r="39" spans="1:4" x14ac:dyDescent="0.2">
      <c r="A39" s="5" t="s">
        <v>17</v>
      </c>
      <c r="B39" s="179" t="s">
        <v>37</v>
      </c>
      <c r="C39" s="12">
        <v>1.4999999999999999E-2</v>
      </c>
      <c r="D39" s="7">
        <f t="shared" si="0"/>
        <v>198.83</v>
      </c>
    </row>
    <row r="40" spans="1:4" x14ac:dyDescent="0.2">
      <c r="A40" s="5" t="s">
        <v>19</v>
      </c>
      <c r="B40" s="179" t="s">
        <v>38</v>
      </c>
      <c r="C40" s="12">
        <v>0.01</v>
      </c>
      <c r="D40" s="7">
        <f t="shared" si="0"/>
        <v>132.55000000000001</v>
      </c>
    </row>
    <row r="41" spans="1:4" x14ac:dyDescent="0.2">
      <c r="A41" s="5" t="s">
        <v>39</v>
      </c>
      <c r="B41" s="179" t="s">
        <v>40</v>
      </c>
      <c r="C41" s="12">
        <v>6.0000000000000001E-3</v>
      </c>
      <c r="D41" s="7">
        <f t="shared" si="0"/>
        <v>79.53</v>
      </c>
    </row>
    <row r="42" spans="1:4" x14ac:dyDescent="0.2">
      <c r="A42" s="5" t="s">
        <v>21</v>
      </c>
      <c r="B42" s="179" t="s">
        <v>41</v>
      </c>
      <c r="C42" s="12">
        <v>2E-3</v>
      </c>
      <c r="D42" s="7">
        <f t="shared" si="0"/>
        <v>26.51</v>
      </c>
    </row>
    <row r="43" spans="1:4" x14ac:dyDescent="0.2">
      <c r="A43" s="5" t="s">
        <v>42</v>
      </c>
      <c r="B43" s="179" t="s">
        <v>43</v>
      </c>
      <c r="C43" s="12">
        <v>0.08</v>
      </c>
      <c r="D43" s="7">
        <f t="shared" si="0"/>
        <v>1060.46</v>
      </c>
    </row>
    <row r="44" spans="1:4" ht="12.75" customHeight="1" x14ac:dyDescent="0.2">
      <c r="A44" s="208" t="s">
        <v>44</v>
      </c>
      <c r="B44" s="208"/>
      <c r="C44" s="13">
        <f>SUM(C36:C43)</f>
        <v>0.36800000000000005</v>
      </c>
      <c r="D44" s="11">
        <f>SUM(D36:D43)</f>
        <v>4878.1000000000004</v>
      </c>
    </row>
    <row r="47" spans="1:4" x14ac:dyDescent="0.2">
      <c r="A47" s="210" t="s">
        <v>45</v>
      </c>
      <c r="B47" s="210"/>
      <c r="C47" s="210"/>
      <c r="D47" s="210"/>
    </row>
    <row r="49" spans="1:4" ht="12.75" customHeight="1" x14ac:dyDescent="0.2">
      <c r="A49" s="178" t="s">
        <v>46</v>
      </c>
      <c r="B49" s="212" t="s">
        <v>47</v>
      </c>
      <c r="C49" s="212"/>
      <c r="D49" s="178" t="s">
        <v>10</v>
      </c>
    </row>
    <row r="50" spans="1:4" ht="12.75" customHeight="1" x14ac:dyDescent="0.2">
      <c r="A50" s="5" t="s">
        <v>11</v>
      </c>
      <c r="B50" s="209" t="s">
        <v>48</v>
      </c>
      <c r="C50" s="209"/>
      <c r="D50" s="7"/>
    </row>
    <row r="51" spans="1:4" ht="12.75" customHeight="1" x14ac:dyDescent="0.2">
      <c r="A51" s="5" t="s">
        <v>13</v>
      </c>
      <c r="B51" s="209" t="s">
        <v>49</v>
      </c>
      <c r="C51" s="209"/>
      <c r="D51" s="144">
        <v>0</v>
      </c>
    </row>
    <row r="52" spans="1:4" ht="12.75" customHeight="1" x14ac:dyDescent="0.2">
      <c r="A52" s="5" t="s">
        <v>15</v>
      </c>
      <c r="B52" s="209" t="s">
        <v>50</v>
      </c>
      <c r="C52" s="209"/>
      <c r="D52" s="7"/>
    </row>
    <row r="53" spans="1:4" ht="12.75" customHeight="1" x14ac:dyDescent="0.2">
      <c r="A53" s="5" t="s">
        <v>17</v>
      </c>
      <c r="B53" s="209" t="s">
        <v>51</v>
      </c>
      <c r="C53" s="209"/>
      <c r="D53" s="7">
        <v>0</v>
      </c>
    </row>
    <row r="54" spans="1:4" ht="12.75" customHeight="1" x14ac:dyDescent="0.2">
      <c r="A54" s="5" t="s">
        <v>19</v>
      </c>
      <c r="B54" s="209" t="s">
        <v>52</v>
      </c>
      <c r="C54" s="209"/>
      <c r="D54" s="7"/>
    </row>
    <row r="55" spans="1:4" ht="12.75" customHeight="1" x14ac:dyDescent="0.2">
      <c r="A55" s="208" t="s">
        <v>23</v>
      </c>
      <c r="B55" s="208"/>
      <c r="C55" s="208"/>
      <c r="D55" s="11">
        <f>SUM(D50:D54)</f>
        <v>0</v>
      </c>
    </row>
    <row r="58" spans="1:4" x14ac:dyDescent="0.2">
      <c r="A58" s="210" t="s">
        <v>53</v>
      </c>
      <c r="B58" s="210"/>
      <c r="C58" s="210"/>
      <c r="D58" s="210"/>
    </row>
    <row r="60" spans="1:4" ht="12.75" customHeight="1" x14ac:dyDescent="0.2">
      <c r="A60" s="178">
        <v>2</v>
      </c>
      <c r="B60" s="212" t="s">
        <v>54</v>
      </c>
      <c r="C60" s="212"/>
      <c r="D60" s="178" t="s">
        <v>10</v>
      </c>
    </row>
    <row r="61" spans="1:4" ht="12.75" customHeight="1" x14ac:dyDescent="0.2">
      <c r="A61" s="5" t="s">
        <v>26</v>
      </c>
      <c r="B61" s="209" t="s">
        <v>27</v>
      </c>
      <c r="C61" s="209"/>
      <c r="D61" s="14">
        <f>D30</f>
        <v>2157.91</v>
      </c>
    </row>
    <row r="62" spans="1:4" ht="12.75" customHeight="1" x14ac:dyDescent="0.2">
      <c r="A62" s="5" t="s">
        <v>31</v>
      </c>
      <c r="B62" s="209" t="s">
        <v>32</v>
      </c>
      <c r="C62" s="209"/>
      <c r="D62" s="14">
        <f>D44</f>
        <v>4878.1000000000004</v>
      </c>
    </row>
    <row r="63" spans="1:4" ht="12.75" customHeight="1" x14ac:dyDescent="0.2">
      <c r="A63" s="5" t="s">
        <v>46</v>
      </c>
      <c r="B63" s="209" t="s">
        <v>47</v>
      </c>
      <c r="C63" s="209"/>
      <c r="D63" s="14">
        <f>D55</f>
        <v>0</v>
      </c>
    </row>
    <row r="64" spans="1:4" ht="12.75" customHeight="1" x14ac:dyDescent="0.2">
      <c r="A64" s="208" t="s">
        <v>23</v>
      </c>
      <c r="B64" s="208"/>
      <c r="C64" s="208"/>
      <c r="D64" s="11">
        <f>SUM(D61:D63)</f>
        <v>7036.01</v>
      </c>
    </row>
    <row r="65" spans="1:5" x14ac:dyDescent="0.2">
      <c r="A65" s="15"/>
    </row>
    <row r="67" spans="1:5" x14ac:dyDescent="0.2">
      <c r="A67" s="204" t="s">
        <v>55</v>
      </c>
      <c r="B67" s="204"/>
      <c r="C67" s="204"/>
      <c r="D67" s="204"/>
    </row>
    <row r="69" spans="1:5" ht="12.75" customHeight="1" x14ac:dyDescent="0.2">
      <c r="A69" s="178">
        <v>3</v>
      </c>
      <c r="B69" s="212" t="s">
        <v>56</v>
      </c>
      <c r="C69" s="212"/>
      <c r="D69" s="178" t="s">
        <v>10</v>
      </c>
    </row>
    <row r="70" spans="1:5" x14ac:dyDescent="0.2">
      <c r="A70" s="5" t="s">
        <v>11</v>
      </c>
      <c r="B70" s="16" t="s">
        <v>57</v>
      </c>
      <c r="C70" s="12">
        <f>TRUNC(((1/12)*5%),4)</f>
        <v>4.1000000000000003E-3</v>
      </c>
      <c r="D70" s="7">
        <f>TRUNC($D$20*C70,2)</f>
        <v>45.5</v>
      </c>
    </row>
    <row r="71" spans="1:5" x14ac:dyDescent="0.2">
      <c r="A71" s="5" t="s">
        <v>13</v>
      </c>
      <c r="B71" s="16" t="s">
        <v>58</v>
      </c>
      <c r="C71" s="12">
        <v>0.08</v>
      </c>
      <c r="D71" s="17">
        <f>TRUNC(D70*C71,2)</f>
        <v>3.64</v>
      </c>
      <c r="E71" s="18"/>
    </row>
    <row r="72" spans="1:5" x14ac:dyDescent="0.2">
      <c r="A72" s="5" t="s">
        <v>15</v>
      </c>
      <c r="B72" s="16" t="s">
        <v>59</v>
      </c>
      <c r="C72" s="12">
        <f>TRUNC(8%*5%*40%,4)</f>
        <v>1.6000000000000001E-3</v>
      </c>
      <c r="D72" s="7">
        <f>TRUNC($D$20*C72,2)</f>
        <v>17.75</v>
      </c>
    </row>
    <row r="73" spans="1:5" x14ac:dyDescent="0.2">
      <c r="A73" s="5" t="s">
        <v>17</v>
      </c>
      <c r="B73" s="16" t="s">
        <v>60</v>
      </c>
      <c r="C73" s="12">
        <f>TRUNC(((7/30)/12)*95%,4)</f>
        <v>1.84E-2</v>
      </c>
      <c r="D73" s="17">
        <f>TRUNC($D$20*C73,2)</f>
        <v>204.2</v>
      </c>
      <c r="E73" s="19"/>
    </row>
    <row r="74" spans="1:5" ht="12.75" customHeight="1" x14ac:dyDescent="0.2">
      <c r="A74" s="5" t="s">
        <v>19</v>
      </c>
      <c r="B74" s="16" t="s">
        <v>61</v>
      </c>
      <c r="C74" s="12">
        <f>C44</f>
        <v>0.36800000000000005</v>
      </c>
      <c r="D74" s="17">
        <f>TRUNC(D73*C74,2)</f>
        <v>75.14</v>
      </c>
      <c r="E74" s="18"/>
    </row>
    <row r="75" spans="1:5" x14ac:dyDescent="0.2">
      <c r="A75" s="5" t="s">
        <v>39</v>
      </c>
      <c r="B75" s="16" t="s">
        <v>62</v>
      </c>
      <c r="C75" s="12">
        <f>TRUNC(8%*95%*40%,4)</f>
        <v>3.04E-2</v>
      </c>
      <c r="D75" s="7">
        <f>TRUNC($D$20*C75,2)</f>
        <v>337.37</v>
      </c>
    </row>
    <row r="76" spans="1:5" ht="12.75" customHeight="1" x14ac:dyDescent="0.2">
      <c r="A76" s="208" t="s">
        <v>23</v>
      </c>
      <c r="B76" s="208"/>
      <c r="C76" s="208"/>
      <c r="D76" s="11">
        <f>SUM(D70:D75)</f>
        <v>683.59999999999991</v>
      </c>
    </row>
    <row r="79" spans="1:5" x14ac:dyDescent="0.2">
      <c r="A79" s="204" t="s">
        <v>63</v>
      </c>
      <c r="B79" s="204"/>
      <c r="C79" s="204"/>
      <c r="D79" s="204"/>
    </row>
    <row r="82" spans="1:4" x14ac:dyDescent="0.2">
      <c r="A82" s="210" t="s">
        <v>64</v>
      </c>
      <c r="B82" s="210"/>
      <c r="C82" s="210"/>
      <c r="D82" s="210"/>
    </row>
    <row r="83" spans="1:4" x14ac:dyDescent="0.2">
      <c r="A83" s="9"/>
    </row>
    <row r="84" spans="1:4" ht="12.75" customHeight="1" x14ac:dyDescent="0.2">
      <c r="A84" s="178" t="s">
        <v>65</v>
      </c>
      <c r="B84" s="212" t="s">
        <v>66</v>
      </c>
      <c r="C84" s="212"/>
      <c r="D84" s="178" t="s">
        <v>10</v>
      </c>
    </row>
    <row r="85" spans="1:4" x14ac:dyDescent="0.2">
      <c r="A85" s="5" t="s">
        <v>11</v>
      </c>
      <c r="B85" s="179" t="s">
        <v>67</v>
      </c>
      <c r="C85" s="12">
        <f>TRUNC(((1+1/3)/12)/12,4)</f>
        <v>9.1999999999999998E-3</v>
      </c>
      <c r="D85" s="7">
        <f t="shared" ref="D85:D90" si="1">TRUNC(($D$20+$D$64+$D$76)*C85,2)</f>
        <v>173.12</v>
      </c>
    </row>
    <row r="86" spans="1:4" x14ac:dyDescent="0.2">
      <c r="A86" s="5" t="s">
        <v>13</v>
      </c>
      <c r="B86" s="179" t="s">
        <v>68</v>
      </c>
      <c r="C86" s="12">
        <f>TRUNC(((2/30)/12),4)</f>
        <v>5.4999999999999997E-3</v>
      </c>
      <c r="D86" s="7">
        <f t="shared" si="1"/>
        <v>103.49</v>
      </c>
    </row>
    <row r="87" spans="1:4" x14ac:dyDescent="0.2">
      <c r="A87" s="5" t="s">
        <v>15</v>
      </c>
      <c r="B87" s="179" t="s">
        <v>69</v>
      </c>
      <c r="C87" s="12">
        <f>TRUNC(((5/30)/12)*2%,4)</f>
        <v>2.0000000000000001E-4</v>
      </c>
      <c r="D87" s="7">
        <f t="shared" si="1"/>
        <v>3.76</v>
      </c>
    </row>
    <row r="88" spans="1:4" x14ac:dyDescent="0.2">
      <c r="A88" s="5" t="s">
        <v>17</v>
      </c>
      <c r="B88" s="179" t="s">
        <v>70</v>
      </c>
      <c r="C88" s="12">
        <f>TRUNC(((15/30)/12)*8%,4)</f>
        <v>3.3E-3</v>
      </c>
      <c r="D88" s="7">
        <f t="shared" si="1"/>
        <v>62.09</v>
      </c>
    </row>
    <row r="89" spans="1:4" x14ac:dyDescent="0.2">
      <c r="A89" s="5" t="s">
        <v>19</v>
      </c>
      <c r="B89" s="179" t="s">
        <v>71</v>
      </c>
      <c r="C89" s="12">
        <f>((1+1/3)/12)*3%*(4/12)</f>
        <v>1.1111111111111109E-3</v>
      </c>
      <c r="D89" s="7">
        <f t="shared" si="1"/>
        <v>20.9</v>
      </c>
    </row>
    <row r="90" spans="1:4" x14ac:dyDescent="0.2">
      <c r="A90" s="5" t="s">
        <v>39</v>
      </c>
      <c r="B90" s="179" t="s">
        <v>72</v>
      </c>
      <c r="C90" s="12">
        <v>1.3899999999999999E-2</v>
      </c>
      <c r="D90" s="7">
        <f t="shared" si="1"/>
        <v>261.56</v>
      </c>
    </row>
    <row r="91" spans="1:4" ht="12.75" customHeight="1" x14ac:dyDescent="0.2">
      <c r="A91" s="208" t="s">
        <v>44</v>
      </c>
      <c r="B91" s="208"/>
      <c r="C91" s="208"/>
      <c r="D91" s="11">
        <f>SUM(D85:D90)</f>
        <v>624.92000000000007</v>
      </c>
    </row>
    <row r="94" spans="1:4" x14ac:dyDescent="0.2">
      <c r="A94" s="210" t="s">
        <v>73</v>
      </c>
      <c r="B94" s="210"/>
      <c r="C94" s="210"/>
      <c r="D94" s="210"/>
    </row>
    <row r="95" spans="1:4" x14ac:dyDescent="0.2">
      <c r="A95" s="9"/>
    </row>
    <row r="96" spans="1:4" ht="12.75" customHeight="1" x14ac:dyDescent="0.2">
      <c r="A96" s="178" t="s">
        <v>74</v>
      </c>
      <c r="B96" s="212" t="s">
        <v>75</v>
      </c>
      <c r="C96" s="212"/>
      <c r="D96" s="178" t="s">
        <v>10</v>
      </c>
    </row>
    <row r="97" spans="1:5" ht="12.75" customHeight="1" x14ac:dyDescent="0.2">
      <c r="A97" s="5" t="s">
        <v>11</v>
      </c>
      <c r="B97" s="209" t="s">
        <v>76</v>
      </c>
      <c r="C97" s="209"/>
      <c r="D97" s="7">
        <f>((D20+D64+D76)/220)*22*0</f>
        <v>0</v>
      </c>
      <c r="E97" s="19"/>
    </row>
    <row r="98" spans="1:5" ht="12.75" customHeight="1" x14ac:dyDescent="0.2">
      <c r="A98" s="208" t="s">
        <v>23</v>
      </c>
      <c r="B98" s="208"/>
      <c r="C98" s="208"/>
      <c r="D98" s="11">
        <f>SUM(D97)</f>
        <v>0</v>
      </c>
    </row>
    <row r="101" spans="1:5" x14ac:dyDescent="0.2">
      <c r="A101" s="210" t="s">
        <v>77</v>
      </c>
      <c r="B101" s="210"/>
      <c r="C101" s="210"/>
      <c r="D101" s="210"/>
    </row>
    <row r="102" spans="1:5" x14ac:dyDescent="0.2">
      <c r="A102" s="9"/>
    </row>
    <row r="103" spans="1:5" ht="12.75" customHeight="1" x14ac:dyDescent="0.2">
      <c r="A103" s="178">
        <v>4</v>
      </c>
      <c r="B103" s="208" t="s">
        <v>78</v>
      </c>
      <c r="C103" s="208"/>
      <c r="D103" s="178" t="s">
        <v>10</v>
      </c>
    </row>
    <row r="104" spans="1:5" ht="12.75" customHeight="1" x14ac:dyDescent="0.2">
      <c r="A104" s="5" t="s">
        <v>65</v>
      </c>
      <c r="B104" s="209" t="s">
        <v>66</v>
      </c>
      <c r="C104" s="209"/>
      <c r="D104" s="14">
        <f>D91</f>
        <v>624.92000000000007</v>
      </c>
    </row>
    <row r="105" spans="1:5" ht="12.75" customHeight="1" x14ac:dyDescent="0.2">
      <c r="A105" s="5" t="s">
        <v>74</v>
      </c>
      <c r="B105" s="209" t="s">
        <v>75</v>
      </c>
      <c r="C105" s="209"/>
      <c r="D105" s="14">
        <f>D98</f>
        <v>0</v>
      </c>
    </row>
    <row r="106" spans="1:5" ht="12.75" customHeight="1" x14ac:dyDescent="0.2">
      <c r="A106" s="208" t="s">
        <v>23</v>
      </c>
      <c r="B106" s="208"/>
      <c r="C106" s="208"/>
      <c r="D106" s="11">
        <f>SUM(D104:D105)</f>
        <v>624.92000000000007</v>
      </c>
    </row>
    <row r="109" spans="1:5" x14ac:dyDescent="0.2">
      <c r="A109" s="204" t="s">
        <v>79</v>
      </c>
      <c r="B109" s="204"/>
      <c r="C109" s="204"/>
      <c r="D109" s="204"/>
    </row>
    <row r="111" spans="1:5" ht="12.75" customHeight="1" x14ac:dyDescent="0.2">
      <c r="A111" s="178">
        <v>5</v>
      </c>
      <c r="B111" s="213" t="s">
        <v>80</v>
      </c>
      <c r="C111" s="213"/>
      <c r="D111" s="178" t="s">
        <v>10</v>
      </c>
    </row>
    <row r="112" spans="1:5" x14ac:dyDescent="0.2">
      <c r="A112" s="5" t="s">
        <v>11</v>
      </c>
      <c r="B112" s="179" t="s">
        <v>81</v>
      </c>
      <c r="C112" s="179"/>
      <c r="D112" s="7" t="s">
        <v>194</v>
      </c>
    </row>
    <row r="113" spans="1:8" x14ac:dyDescent="0.2">
      <c r="A113" s="5" t="s">
        <v>13</v>
      </c>
      <c r="B113" s="179" t="s">
        <v>209</v>
      </c>
      <c r="C113" s="179"/>
      <c r="D113" s="144">
        <f>2955/12</f>
        <v>246.25</v>
      </c>
      <c r="G113" s="143"/>
      <c r="H113" s="143"/>
    </row>
    <row r="114" spans="1:8" x14ac:dyDescent="0.2">
      <c r="A114" s="5" t="s">
        <v>15</v>
      </c>
      <c r="B114" s="179" t="s">
        <v>82</v>
      </c>
      <c r="C114" s="179"/>
      <c r="D114" s="144">
        <f>EPIs!F13</f>
        <v>9.2516666666666652</v>
      </c>
      <c r="G114" s="143"/>
    </row>
    <row r="115" spans="1:8" ht="12.75" customHeight="1" x14ac:dyDescent="0.2">
      <c r="A115" s="208" t="s">
        <v>44</v>
      </c>
      <c r="B115" s="208"/>
      <c r="C115" s="208"/>
      <c r="D115" s="8">
        <f>SUM(D112:D114)</f>
        <v>255.50166666666667</v>
      </c>
      <c r="G115" s="143"/>
    </row>
    <row r="116" spans="1:8" x14ac:dyDescent="0.2">
      <c r="G116" s="143"/>
    </row>
    <row r="117" spans="1:8" x14ac:dyDescent="0.2">
      <c r="G117" s="143"/>
    </row>
    <row r="118" spans="1:8" x14ac:dyDescent="0.2">
      <c r="A118" s="204" t="s">
        <v>83</v>
      </c>
      <c r="B118" s="204"/>
      <c r="C118" s="204"/>
      <c r="D118" s="204"/>
    </row>
    <row r="119" spans="1:8" x14ac:dyDescent="0.2">
      <c r="G119" s="143"/>
      <c r="H119" s="143"/>
    </row>
    <row r="120" spans="1:8" x14ac:dyDescent="0.2">
      <c r="A120" s="178">
        <v>6</v>
      </c>
      <c r="B120" s="180" t="s">
        <v>84</v>
      </c>
      <c r="C120" s="178" t="s">
        <v>33</v>
      </c>
      <c r="D120" s="178" t="s">
        <v>10</v>
      </c>
    </row>
    <row r="121" spans="1:8" x14ac:dyDescent="0.2">
      <c r="A121" s="5" t="s">
        <v>11</v>
      </c>
      <c r="B121" s="179" t="s">
        <v>85</v>
      </c>
      <c r="C121" s="195">
        <v>7.3749999999999996E-2</v>
      </c>
      <c r="D121" s="14">
        <f>D138*C121</f>
        <v>1452.7217229166665</v>
      </c>
    </row>
    <row r="122" spans="1:8" x14ac:dyDescent="0.2">
      <c r="A122" s="5" t="s">
        <v>13</v>
      </c>
      <c r="B122" s="179" t="s">
        <v>86</v>
      </c>
      <c r="C122" s="12">
        <v>7.3999999999999996E-2</v>
      </c>
      <c r="D122" s="7">
        <f>(D138+D121)*C122</f>
        <v>1565.1476108291665</v>
      </c>
    </row>
    <row r="123" spans="1:8" x14ac:dyDescent="0.2">
      <c r="A123" s="5" t="s">
        <v>15</v>
      </c>
      <c r="B123" s="179" t="s">
        <v>87</v>
      </c>
      <c r="C123" s="10">
        <f>SUM(C124:C126)</f>
        <v>8.6499999999999994E-2</v>
      </c>
      <c r="D123" s="7">
        <f>(D138+D121+D122)*C123/(1-C123)</f>
        <v>2150.9752835639642</v>
      </c>
    </row>
    <row r="124" spans="1:8" x14ac:dyDescent="0.2">
      <c r="A124" s="5"/>
      <c r="B124" s="179" t="s">
        <v>210</v>
      </c>
      <c r="C124" s="12">
        <v>3.6499999999999998E-2</v>
      </c>
      <c r="D124" s="14">
        <f>$D$140*C124</f>
        <v>907.63710499999991</v>
      </c>
    </row>
    <row r="125" spans="1:8" x14ac:dyDescent="0.2">
      <c r="A125" s="5"/>
      <c r="B125" s="179" t="s">
        <v>195</v>
      </c>
      <c r="C125" s="5"/>
      <c r="D125" s="14">
        <f>$D$140*C125</f>
        <v>0</v>
      </c>
    </row>
    <row r="126" spans="1:8" x14ac:dyDescent="0.2">
      <c r="A126" s="5"/>
      <c r="B126" s="179" t="s">
        <v>196</v>
      </c>
      <c r="C126" s="12">
        <v>0.05</v>
      </c>
      <c r="D126" s="14">
        <f>$D$140*C126</f>
        <v>1243.3385000000001</v>
      </c>
    </row>
    <row r="127" spans="1:8" ht="13.5" customHeight="1" x14ac:dyDescent="0.2">
      <c r="A127" s="214" t="s">
        <v>44</v>
      </c>
      <c r="B127" s="214"/>
      <c r="C127" s="21">
        <f>(1+C122)*(1+C121)/(1-C123)-1</f>
        <v>0.26240558292282423</v>
      </c>
      <c r="D127" s="11">
        <f>SUM(D121:D123)</f>
        <v>5168.8446173097973</v>
      </c>
    </row>
    <row r="130" spans="1:5" x14ac:dyDescent="0.2">
      <c r="A130" s="204" t="s">
        <v>88</v>
      </c>
      <c r="B130" s="204"/>
      <c r="C130" s="204"/>
      <c r="D130" s="204"/>
    </row>
    <row r="132" spans="1:5" ht="12.75" customHeight="1" x14ac:dyDescent="0.2">
      <c r="A132" s="178"/>
      <c r="B132" s="208" t="s">
        <v>89</v>
      </c>
      <c r="C132" s="208"/>
      <c r="D132" s="178" t="s">
        <v>10</v>
      </c>
    </row>
    <row r="133" spans="1:5" ht="12.75" customHeight="1" x14ac:dyDescent="0.2">
      <c r="A133" s="178" t="s">
        <v>11</v>
      </c>
      <c r="B133" s="209" t="s">
        <v>8</v>
      </c>
      <c r="C133" s="209"/>
      <c r="D133" s="22">
        <f>D20</f>
        <v>11097.89</v>
      </c>
    </row>
    <row r="134" spans="1:5" ht="12.75" customHeight="1" x14ac:dyDescent="0.2">
      <c r="A134" s="178" t="s">
        <v>13</v>
      </c>
      <c r="B134" s="209" t="s">
        <v>24</v>
      </c>
      <c r="C134" s="209"/>
      <c r="D134" s="22">
        <f>D64</f>
        <v>7036.01</v>
      </c>
    </row>
    <row r="135" spans="1:5" ht="12.75" customHeight="1" x14ac:dyDescent="0.2">
      <c r="A135" s="178" t="s">
        <v>15</v>
      </c>
      <c r="B135" s="209" t="s">
        <v>55</v>
      </c>
      <c r="C135" s="209"/>
      <c r="D135" s="22">
        <f>D76</f>
        <v>683.59999999999991</v>
      </c>
    </row>
    <row r="136" spans="1:5" ht="12.75" customHeight="1" x14ac:dyDescent="0.2">
      <c r="A136" s="178" t="s">
        <v>17</v>
      </c>
      <c r="B136" s="209" t="s">
        <v>63</v>
      </c>
      <c r="C136" s="209"/>
      <c r="D136" s="22">
        <f>D106</f>
        <v>624.92000000000007</v>
      </c>
    </row>
    <row r="137" spans="1:5" ht="12.75" customHeight="1" x14ac:dyDescent="0.2">
      <c r="A137" s="178" t="s">
        <v>19</v>
      </c>
      <c r="B137" s="209" t="s">
        <v>79</v>
      </c>
      <c r="C137" s="209"/>
      <c r="D137" s="22">
        <f>D115</f>
        <v>255.50166666666667</v>
      </c>
    </row>
    <row r="138" spans="1:5" ht="12.75" customHeight="1" x14ac:dyDescent="0.2">
      <c r="A138" s="208" t="s">
        <v>90</v>
      </c>
      <c r="B138" s="208"/>
      <c r="C138" s="208"/>
      <c r="D138" s="23">
        <f>SUM(D133:D137)</f>
        <v>19697.921666666665</v>
      </c>
    </row>
    <row r="139" spans="1:5" ht="12.75" customHeight="1" x14ac:dyDescent="0.2">
      <c r="A139" s="178" t="s">
        <v>39</v>
      </c>
      <c r="B139" s="209" t="s">
        <v>91</v>
      </c>
      <c r="C139" s="209"/>
      <c r="D139" s="24">
        <f>D127</f>
        <v>5168.8446173097973</v>
      </c>
    </row>
    <row r="140" spans="1:5" ht="12.75" customHeight="1" x14ac:dyDescent="0.2">
      <c r="A140" s="208" t="s">
        <v>92</v>
      </c>
      <c r="B140" s="208"/>
      <c r="C140" s="208"/>
      <c r="D140" s="23">
        <f>ROUND(SUM(D138:D139),2)</f>
        <v>24866.77</v>
      </c>
    </row>
    <row r="142" spans="1:5" x14ac:dyDescent="0.2">
      <c r="E142" s="142"/>
    </row>
  </sheetData>
  <mergeCells count="67"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B133:C133"/>
    <mergeCell ref="B103:C103"/>
    <mergeCell ref="B104:C104"/>
    <mergeCell ref="B105:C105"/>
    <mergeCell ref="A106:C106"/>
    <mergeCell ref="A109:D109"/>
    <mergeCell ref="B111:C111"/>
    <mergeCell ref="A115:C115"/>
    <mergeCell ref="A118:D118"/>
    <mergeCell ref="A127:B127"/>
    <mergeCell ref="A130:D130"/>
    <mergeCell ref="B132:C132"/>
    <mergeCell ref="A140:C140"/>
    <mergeCell ref="B134:C134"/>
    <mergeCell ref="B135:C135"/>
    <mergeCell ref="B136:C136"/>
    <mergeCell ref="B137:C137"/>
    <mergeCell ref="A138:C138"/>
    <mergeCell ref="B139:C139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4" max="16383" man="1"/>
    <brk id="12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42"/>
  <sheetViews>
    <sheetView topLeftCell="A134" zoomScale="115" zoomScaleNormal="115" workbookViewId="0">
      <selection activeCell="E156" sqref="E156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9.33203125" style="1"/>
    <col min="7" max="8" width="12.1640625" style="1" bestFit="1" customWidth="1"/>
    <col min="9" max="1022" width="9.33203125" style="1"/>
  </cols>
  <sheetData>
    <row r="1" spans="1:4" ht="15.75" x14ac:dyDescent="0.25">
      <c r="A1" s="203" t="s">
        <v>2</v>
      </c>
      <c r="B1" s="203"/>
      <c r="C1" s="203"/>
      <c r="D1" s="203"/>
    </row>
    <row r="3" spans="1:4" x14ac:dyDescent="0.2">
      <c r="A3" s="204" t="s">
        <v>3</v>
      </c>
      <c r="B3" s="204"/>
      <c r="C3" s="204"/>
      <c r="D3" s="204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4</v>
      </c>
      <c r="C5" s="205" t="s">
        <v>217</v>
      </c>
      <c r="D5" s="205"/>
    </row>
    <row r="6" spans="1:4" x14ac:dyDescent="0.2">
      <c r="A6" s="3">
        <v>2</v>
      </c>
      <c r="B6" s="3" t="s">
        <v>5</v>
      </c>
      <c r="C6" s="206"/>
      <c r="D6" s="206"/>
    </row>
    <row r="7" spans="1:4" x14ac:dyDescent="0.2">
      <c r="A7" s="3">
        <v>3</v>
      </c>
      <c r="B7" s="3" t="s">
        <v>6</v>
      </c>
      <c r="C7" s="205" t="s">
        <v>216</v>
      </c>
      <c r="D7" s="205"/>
    </row>
    <row r="8" spans="1:4" x14ac:dyDescent="0.2">
      <c r="A8" s="3">
        <v>4</v>
      </c>
      <c r="B8" s="3" t="s">
        <v>7</v>
      </c>
      <c r="C8" s="207">
        <v>44287</v>
      </c>
      <c r="D8" s="205"/>
    </row>
    <row r="10" spans="1:4" x14ac:dyDescent="0.2">
      <c r="A10" s="204" t="s">
        <v>8</v>
      </c>
      <c r="B10" s="204"/>
      <c r="C10" s="204"/>
      <c r="D10" s="204"/>
    </row>
    <row r="12" spans="1:4" ht="12.75" customHeight="1" x14ac:dyDescent="0.2">
      <c r="A12" s="178">
        <v>1</v>
      </c>
      <c r="B12" s="208" t="s">
        <v>9</v>
      </c>
      <c r="C12" s="208"/>
      <c r="D12" s="178" t="s">
        <v>10</v>
      </c>
    </row>
    <row r="13" spans="1:4" ht="12.75" customHeight="1" x14ac:dyDescent="0.2">
      <c r="A13" s="5" t="s">
        <v>11</v>
      </c>
      <c r="B13" s="209" t="s">
        <v>12</v>
      </c>
      <c r="C13" s="209"/>
      <c r="D13" s="144">
        <v>11097.89</v>
      </c>
    </row>
    <row r="14" spans="1:4" ht="12.75" customHeight="1" x14ac:dyDescent="0.2">
      <c r="A14" s="5" t="s">
        <v>13</v>
      </c>
      <c r="B14" s="209" t="s">
        <v>14</v>
      </c>
      <c r="C14" s="209"/>
      <c r="D14" s="7" t="s">
        <v>194</v>
      </c>
    </row>
    <row r="15" spans="1:4" ht="12.75" customHeight="1" x14ac:dyDescent="0.2">
      <c r="A15" s="5" t="s">
        <v>15</v>
      </c>
      <c r="B15" s="209" t="s">
        <v>16</v>
      </c>
      <c r="C15" s="209"/>
      <c r="D15" s="7" t="s">
        <v>194</v>
      </c>
    </row>
    <row r="16" spans="1:4" ht="12.75" customHeight="1" x14ac:dyDescent="0.2">
      <c r="A16" s="5" t="s">
        <v>17</v>
      </c>
      <c r="B16" s="209" t="s">
        <v>18</v>
      </c>
      <c r="C16" s="209"/>
      <c r="D16" s="7" t="s">
        <v>194</v>
      </c>
    </row>
    <row r="17" spans="1:4" ht="12.75" customHeight="1" x14ac:dyDescent="0.2">
      <c r="A17" s="5" t="s">
        <v>19</v>
      </c>
      <c r="B17" s="209" t="s">
        <v>20</v>
      </c>
      <c r="C17" s="209"/>
      <c r="D17" s="7" t="s">
        <v>194</v>
      </c>
    </row>
    <row r="18" spans="1:4" x14ac:dyDescent="0.2">
      <c r="A18" s="5"/>
      <c r="B18" s="209"/>
      <c r="C18" s="209"/>
      <c r="D18" s="7"/>
    </row>
    <row r="19" spans="1:4" ht="12.75" customHeight="1" x14ac:dyDescent="0.2">
      <c r="A19" s="5" t="s">
        <v>21</v>
      </c>
      <c r="B19" s="209" t="s">
        <v>22</v>
      </c>
      <c r="C19" s="209"/>
      <c r="D19" s="7"/>
    </row>
    <row r="20" spans="1:4" ht="12.75" customHeight="1" x14ac:dyDescent="0.2">
      <c r="A20" s="208" t="s">
        <v>23</v>
      </c>
      <c r="B20" s="208"/>
      <c r="C20" s="208"/>
      <c r="D20" s="8">
        <f>SUM(D13:D19)</f>
        <v>11097.89</v>
      </c>
    </row>
    <row r="23" spans="1:4" x14ac:dyDescent="0.2">
      <c r="A23" s="204" t="s">
        <v>24</v>
      </c>
      <c r="B23" s="204"/>
      <c r="C23" s="204"/>
      <c r="D23" s="204"/>
    </row>
    <row r="24" spans="1:4" x14ac:dyDescent="0.2">
      <c r="A24" s="9"/>
    </row>
    <row r="25" spans="1:4" x14ac:dyDescent="0.2">
      <c r="A25" s="210" t="s">
        <v>25</v>
      </c>
      <c r="B25" s="210"/>
      <c r="C25" s="210"/>
      <c r="D25" s="210"/>
    </row>
    <row r="27" spans="1:4" ht="12.75" customHeight="1" x14ac:dyDescent="0.2">
      <c r="A27" s="178" t="s">
        <v>26</v>
      </c>
      <c r="B27" s="208" t="s">
        <v>27</v>
      </c>
      <c r="C27" s="208"/>
      <c r="D27" s="178" t="s">
        <v>10</v>
      </c>
    </row>
    <row r="28" spans="1:4" x14ac:dyDescent="0.2">
      <c r="A28" s="5" t="s">
        <v>11</v>
      </c>
      <c r="B28" s="179" t="s">
        <v>28</v>
      </c>
      <c r="C28" s="10">
        <f>1/12</f>
        <v>8.3333333333333329E-2</v>
      </c>
      <c r="D28" s="7">
        <f>TRUNC($D$20*C28,2)</f>
        <v>924.82</v>
      </c>
    </row>
    <row r="29" spans="1:4" x14ac:dyDescent="0.2">
      <c r="A29" s="5" t="s">
        <v>13</v>
      </c>
      <c r="B29" s="179" t="s">
        <v>29</v>
      </c>
      <c r="C29" s="10">
        <f>(1/12)*(4/3)</f>
        <v>0.1111111111111111</v>
      </c>
      <c r="D29" s="7">
        <f>TRUNC($D$20*C29,2)</f>
        <v>1233.0899999999999</v>
      </c>
    </row>
    <row r="30" spans="1:4" ht="12.75" customHeight="1" x14ac:dyDescent="0.2">
      <c r="A30" s="208" t="s">
        <v>23</v>
      </c>
      <c r="B30" s="208"/>
      <c r="C30" s="208"/>
      <c r="D30" s="11">
        <f>SUM(D28:D29)</f>
        <v>2157.91</v>
      </c>
    </row>
    <row r="33" spans="1:4" ht="12.75" customHeight="1" x14ac:dyDescent="0.2">
      <c r="A33" s="211" t="s">
        <v>30</v>
      </c>
      <c r="B33" s="211"/>
      <c r="C33" s="211"/>
      <c r="D33" s="211"/>
    </row>
    <row r="35" spans="1:4" x14ac:dyDescent="0.2">
      <c r="A35" s="178" t="s">
        <v>31</v>
      </c>
      <c r="B35" s="178" t="s">
        <v>32</v>
      </c>
      <c r="C35" s="178" t="s">
        <v>33</v>
      </c>
      <c r="D35" s="178" t="s">
        <v>10</v>
      </c>
    </row>
    <row r="36" spans="1:4" x14ac:dyDescent="0.2">
      <c r="A36" s="5" t="s">
        <v>11</v>
      </c>
      <c r="B36" s="179" t="s">
        <v>34</v>
      </c>
      <c r="C36" s="12">
        <v>0.2</v>
      </c>
      <c r="D36" s="7">
        <f t="shared" ref="D36:D43" si="0">TRUNC(($D$20+$D$30)*C36,2)</f>
        <v>2651.16</v>
      </c>
    </row>
    <row r="37" spans="1:4" x14ac:dyDescent="0.2">
      <c r="A37" s="5" t="s">
        <v>13</v>
      </c>
      <c r="B37" s="179" t="s">
        <v>35</v>
      </c>
      <c r="C37" s="12">
        <v>2.5000000000000001E-2</v>
      </c>
      <c r="D37" s="7">
        <f t="shared" si="0"/>
        <v>331.39</v>
      </c>
    </row>
    <row r="38" spans="1:4" x14ac:dyDescent="0.2">
      <c r="A38" s="5" t="s">
        <v>15</v>
      </c>
      <c r="B38" s="179" t="s">
        <v>36</v>
      </c>
      <c r="C38" s="163">
        <v>0.03</v>
      </c>
      <c r="D38" s="7">
        <f t="shared" si="0"/>
        <v>397.67</v>
      </c>
    </row>
    <row r="39" spans="1:4" x14ac:dyDescent="0.2">
      <c r="A39" s="5" t="s">
        <v>17</v>
      </c>
      <c r="B39" s="179" t="s">
        <v>37</v>
      </c>
      <c r="C39" s="12">
        <v>1.4999999999999999E-2</v>
      </c>
      <c r="D39" s="7">
        <f t="shared" si="0"/>
        <v>198.83</v>
      </c>
    </row>
    <row r="40" spans="1:4" x14ac:dyDescent="0.2">
      <c r="A40" s="5" t="s">
        <v>19</v>
      </c>
      <c r="B40" s="179" t="s">
        <v>38</v>
      </c>
      <c r="C40" s="12">
        <v>0.01</v>
      </c>
      <c r="D40" s="7">
        <f t="shared" si="0"/>
        <v>132.55000000000001</v>
      </c>
    </row>
    <row r="41" spans="1:4" x14ac:dyDescent="0.2">
      <c r="A41" s="5" t="s">
        <v>39</v>
      </c>
      <c r="B41" s="179" t="s">
        <v>40</v>
      </c>
      <c r="C41" s="12">
        <v>6.0000000000000001E-3</v>
      </c>
      <c r="D41" s="7">
        <f t="shared" si="0"/>
        <v>79.53</v>
      </c>
    </row>
    <row r="42" spans="1:4" x14ac:dyDescent="0.2">
      <c r="A42" s="5" t="s">
        <v>21</v>
      </c>
      <c r="B42" s="179" t="s">
        <v>41</v>
      </c>
      <c r="C42" s="12">
        <v>2E-3</v>
      </c>
      <c r="D42" s="7">
        <f t="shared" si="0"/>
        <v>26.51</v>
      </c>
    </row>
    <row r="43" spans="1:4" x14ac:dyDescent="0.2">
      <c r="A43" s="5" t="s">
        <v>42</v>
      </c>
      <c r="B43" s="179" t="s">
        <v>43</v>
      </c>
      <c r="C43" s="12">
        <v>0.08</v>
      </c>
      <c r="D43" s="7">
        <f t="shared" si="0"/>
        <v>1060.46</v>
      </c>
    </row>
    <row r="44" spans="1:4" ht="12.75" customHeight="1" x14ac:dyDescent="0.2">
      <c r="A44" s="208" t="s">
        <v>44</v>
      </c>
      <c r="B44" s="208"/>
      <c r="C44" s="13">
        <f>SUM(C36:C43)</f>
        <v>0.36800000000000005</v>
      </c>
      <c r="D44" s="11">
        <f>SUM(D36:D43)</f>
        <v>4878.1000000000004</v>
      </c>
    </row>
    <row r="47" spans="1:4" x14ac:dyDescent="0.2">
      <c r="A47" s="210" t="s">
        <v>45</v>
      </c>
      <c r="B47" s="210"/>
      <c r="C47" s="210"/>
      <c r="D47" s="210"/>
    </row>
    <row r="49" spans="1:4" ht="12.75" customHeight="1" x14ac:dyDescent="0.2">
      <c r="A49" s="178" t="s">
        <v>46</v>
      </c>
      <c r="B49" s="212" t="s">
        <v>47</v>
      </c>
      <c r="C49" s="212"/>
      <c r="D49" s="178" t="s">
        <v>10</v>
      </c>
    </row>
    <row r="50" spans="1:4" ht="12.75" customHeight="1" x14ac:dyDescent="0.2">
      <c r="A50" s="5" t="s">
        <v>11</v>
      </c>
      <c r="B50" s="209" t="s">
        <v>48</v>
      </c>
      <c r="C50" s="209"/>
      <c r="D50" s="7"/>
    </row>
    <row r="51" spans="1:4" ht="12.75" customHeight="1" x14ac:dyDescent="0.2">
      <c r="A51" s="5" t="s">
        <v>13</v>
      </c>
      <c r="B51" s="209" t="s">
        <v>49</v>
      </c>
      <c r="C51" s="209"/>
      <c r="D51" s="144">
        <v>0</v>
      </c>
    </row>
    <row r="52" spans="1:4" ht="12.75" customHeight="1" x14ac:dyDescent="0.2">
      <c r="A52" s="5" t="s">
        <v>15</v>
      </c>
      <c r="B52" s="209" t="s">
        <v>50</v>
      </c>
      <c r="C52" s="209"/>
      <c r="D52" s="7"/>
    </row>
    <row r="53" spans="1:4" ht="12.75" customHeight="1" x14ac:dyDescent="0.2">
      <c r="A53" s="5" t="s">
        <v>17</v>
      </c>
      <c r="B53" s="209" t="s">
        <v>51</v>
      </c>
      <c r="C53" s="209"/>
      <c r="D53" s="7">
        <v>0</v>
      </c>
    </row>
    <row r="54" spans="1:4" ht="12.75" customHeight="1" x14ac:dyDescent="0.2">
      <c r="A54" s="5" t="s">
        <v>19</v>
      </c>
      <c r="B54" s="209" t="s">
        <v>52</v>
      </c>
      <c r="C54" s="209"/>
      <c r="D54" s="7"/>
    </row>
    <row r="55" spans="1:4" ht="12.75" customHeight="1" x14ac:dyDescent="0.2">
      <c r="A55" s="208" t="s">
        <v>23</v>
      </c>
      <c r="B55" s="208"/>
      <c r="C55" s="208"/>
      <c r="D55" s="11">
        <f>SUM(D50:D54)</f>
        <v>0</v>
      </c>
    </row>
    <row r="58" spans="1:4" x14ac:dyDescent="0.2">
      <c r="A58" s="210" t="s">
        <v>53</v>
      </c>
      <c r="B58" s="210"/>
      <c r="C58" s="210"/>
      <c r="D58" s="210"/>
    </row>
    <row r="60" spans="1:4" ht="12.75" customHeight="1" x14ac:dyDescent="0.2">
      <c r="A60" s="178">
        <v>2</v>
      </c>
      <c r="B60" s="212" t="s">
        <v>54</v>
      </c>
      <c r="C60" s="212"/>
      <c r="D60" s="178" t="s">
        <v>10</v>
      </c>
    </row>
    <row r="61" spans="1:4" ht="12.75" customHeight="1" x14ac:dyDescent="0.2">
      <c r="A61" s="5" t="s">
        <v>26</v>
      </c>
      <c r="B61" s="209" t="s">
        <v>27</v>
      </c>
      <c r="C61" s="209"/>
      <c r="D61" s="14">
        <f>D30</f>
        <v>2157.91</v>
      </c>
    </row>
    <row r="62" spans="1:4" ht="12.75" customHeight="1" x14ac:dyDescent="0.2">
      <c r="A62" s="5" t="s">
        <v>31</v>
      </c>
      <c r="B62" s="209" t="s">
        <v>32</v>
      </c>
      <c r="C62" s="209"/>
      <c r="D62" s="14">
        <f>D44</f>
        <v>4878.1000000000004</v>
      </c>
    </row>
    <row r="63" spans="1:4" ht="12.75" customHeight="1" x14ac:dyDescent="0.2">
      <c r="A63" s="5" t="s">
        <v>46</v>
      </c>
      <c r="B63" s="209" t="s">
        <v>47</v>
      </c>
      <c r="C63" s="209"/>
      <c r="D63" s="14">
        <f>D55</f>
        <v>0</v>
      </c>
    </row>
    <row r="64" spans="1:4" ht="12.75" customHeight="1" x14ac:dyDescent="0.2">
      <c r="A64" s="208" t="s">
        <v>23</v>
      </c>
      <c r="B64" s="208"/>
      <c r="C64" s="208"/>
      <c r="D64" s="11">
        <f>SUM(D61:D63)</f>
        <v>7036.01</v>
      </c>
    </row>
    <row r="65" spans="1:5" x14ac:dyDescent="0.2">
      <c r="A65" s="15"/>
    </row>
    <row r="67" spans="1:5" x14ac:dyDescent="0.2">
      <c r="A67" s="204" t="s">
        <v>55</v>
      </c>
      <c r="B67" s="204"/>
      <c r="C67" s="204"/>
      <c r="D67" s="204"/>
    </row>
    <row r="69" spans="1:5" ht="12.75" customHeight="1" x14ac:dyDescent="0.2">
      <c r="A69" s="178">
        <v>3</v>
      </c>
      <c r="B69" s="212" t="s">
        <v>56</v>
      </c>
      <c r="C69" s="212"/>
      <c r="D69" s="178" t="s">
        <v>10</v>
      </c>
    </row>
    <row r="70" spans="1:5" x14ac:dyDescent="0.2">
      <c r="A70" s="5" t="s">
        <v>11</v>
      </c>
      <c r="B70" s="16" t="s">
        <v>57</v>
      </c>
      <c r="C70" s="12">
        <f>TRUNC(((1/12)*5%),4)</f>
        <v>4.1000000000000003E-3</v>
      </c>
      <c r="D70" s="7">
        <f>TRUNC($D$20*C70,2)</f>
        <v>45.5</v>
      </c>
    </row>
    <row r="71" spans="1:5" x14ac:dyDescent="0.2">
      <c r="A71" s="5" t="s">
        <v>13</v>
      </c>
      <c r="B71" s="16" t="s">
        <v>58</v>
      </c>
      <c r="C71" s="12">
        <v>0.08</v>
      </c>
      <c r="D71" s="17">
        <f>TRUNC(D70*C71,2)</f>
        <v>3.64</v>
      </c>
      <c r="E71" s="18"/>
    </row>
    <row r="72" spans="1:5" x14ac:dyDescent="0.2">
      <c r="A72" s="5" t="s">
        <v>15</v>
      </c>
      <c r="B72" s="16" t="s">
        <v>59</v>
      </c>
      <c r="C72" s="12">
        <f>TRUNC(8%*5%*40%,4)</f>
        <v>1.6000000000000001E-3</v>
      </c>
      <c r="D72" s="7">
        <f>TRUNC($D$20*C72,2)</f>
        <v>17.75</v>
      </c>
    </row>
    <row r="73" spans="1:5" x14ac:dyDescent="0.2">
      <c r="A73" s="5" t="s">
        <v>17</v>
      </c>
      <c r="B73" s="16" t="s">
        <v>60</v>
      </c>
      <c r="C73" s="12">
        <f>TRUNC(((7/30)/12)*95%,4)</f>
        <v>1.84E-2</v>
      </c>
      <c r="D73" s="17">
        <f>TRUNC($D$20*C73,2)</f>
        <v>204.2</v>
      </c>
      <c r="E73" s="19"/>
    </row>
    <row r="74" spans="1:5" ht="12.75" customHeight="1" x14ac:dyDescent="0.2">
      <c r="A74" s="5" t="s">
        <v>19</v>
      </c>
      <c r="B74" s="16" t="s">
        <v>61</v>
      </c>
      <c r="C74" s="12">
        <f>C44</f>
        <v>0.36800000000000005</v>
      </c>
      <c r="D74" s="17">
        <f>TRUNC(D73*C74,2)</f>
        <v>75.14</v>
      </c>
      <c r="E74" s="18"/>
    </row>
    <row r="75" spans="1:5" x14ac:dyDescent="0.2">
      <c r="A75" s="5" t="s">
        <v>39</v>
      </c>
      <c r="B75" s="16" t="s">
        <v>62</v>
      </c>
      <c r="C75" s="12">
        <f>TRUNC(8%*95%*40%,4)</f>
        <v>3.04E-2</v>
      </c>
      <c r="D75" s="7">
        <f>TRUNC($D$20*C75,2)</f>
        <v>337.37</v>
      </c>
    </row>
    <row r="76" spans="1:5" ht="12.75" customHeight="1" x14ac:dyDescent="0.2">
      <c r="A76" s="208" t="s">
        <v>23</v>
      </c>
      <c r="B76" s="208"/>
      <c r="C76" s="208"/>
      <c r="D76" s="11">
        <f>SUM(D70:D75)</f>
        <v>683.59999999999991</v>
      </c>
    </row>
    <row r="79" spans="1:5" x14ac:dyDescent="0.2">
      <c r="A79" s="204" t="s">
        <v>63</v>
      </c>
      <c r="B79" s="204"/>
      <c r="C79" s="204"/>
      <c r="D79" s="204"/>
    </row>
    <row r="82" spans="1:4" x14ac:dyDescent="0.2">
      <c r="A82" s="210" t="s">
        <v>64</v>
      </c>
      <c r="B82" s="210"/>
      <c r="C82" s="210"/>
      <c r="D82" s="210"/>
    </row>
    <row r="83" spans="1:4" x14ac:dyDescent="0.2">
      <c r="A83" s="9"/>
    </row>
    <row r="84" spans="1:4" ht="12.75" customHeight="1" x14ac:dyDescent="0.2">
      <c r="A84" s="178" t="s">
        <v>65</v>
      </c>
      <c r="B84" s="212" t="s">
        <v>66</v>
      </c>
      <c r="C84" s="212"/>
      <c r="D84" s="178" t="s">
        <v>10</v>
      </c>
    </row>
    <row r="85" spans="1:4" x14ac:dyDescent="0.2">
      <c r="A85" s="5" t="s">
        <v>11</v>
      </c>
      <c r="B85" s="179" t="s">
        <v>67</v>
      </c>
      <c r="C85" s="12">
        <f>TRUNC(((1+1/3)/12)/12,4)</f>
        <v>9.1999999999999998E-3</v>
      </c>
      <c r="D85" s="7">
        <f t="shared" ref="D85:D90" si="1">TRUNC(($D$20+$D$64+$D$76)*C85,2)</f>
        <v>173.12</v>
      </c>
    </row>
    <row r="86" spans="1:4" x14ac:dyDescent="0.2">
      <c r="A86" s="5" t="s">
        <v>13</v>
      </c>
      <c r="B86" s="179" t="s">
        <v>68</v>
      </c>
      <c r="C86" s="12">
        <f>TRUNC(((2/30)/12),4)</f>
        <v>5.4999999999999997E-3</v>
      </c>
      <c r="D86" s="7">
        <f t="shared" si="1"/>
        <v>103.49</v>
      </c>
    </row>
    <row r="87" spans="1:4" x14ac:dyDescent="0.2">
      <c r="A87" s="5" t="s">
        <v>15</v>
      </c>
      <c r="B87" s="179" t="s">
        <v>69</v>
      </c>
      <c r="C87" s="12">
        <f>TRUNC(((5/30)/12)*2%,4)</f>
        <v>2.0000000000000001E-4</v>
      </c>
      <c r="D87" s="7">
        <f t="shared" si="1"/>
        <v>3.76</v>
      </c>
    </row>
    <row r="88" spans="1:4" x14ac:dyDescent="0.2">
      <c r="A88" s="5" t="s">
        <v>17</v>
      </c>
      <c r="B88" s="179" t="s">
        <v>70</v>
      </c>
      <c r="C88" s="12">
        <f>TRUNC(((15/30)/12)*8%,4)</f>
        <v>3.3E-3</v>
      </c>
      <c r="D88" s="7">
        <f t="shared" si="1"/>
        <v>62.09</v>
      </c>
    </row>
    <row r="89" spans="1:4" x14ac:dyDescent="0.2">
      <c r="A89" s="5" t="s">
        <v>19</v>
      </c>
      <c r="B89" s="179" t="s">
        <v>71</v>
      </c>
      <c r="C89" s="12">
        <f>((1+1/3)/12)*3%*(4/12)</f>
        <v>1.1111111111111109E-3</v>
      </c>
      <c r="D89" s="7">
        <f t="shared" si="1"/>
        <v>20.9</v>
      </c>
    </row>
    <row r="90" spans="1:4" x14ac:dyDescent="0.2">
      <c r="A90" s="5" t="s">
        <v>39</v>
      </c>
      <c r="B90" s="179" t="s">
        <v>72</v>
      </c>
      <c r="C90" s="12">
        <v>1.3899999999999999E-2</v>
      </c>
      <c r="D90" s="7">
        <f t="shared" si="1"/>
        <v>261.56</v>
      </c>
    </row>
    <row r="91" spans="1:4" ht="12.75" customHeight="1" x14ac:dyDescent="0.2">
      <c r="A91" s="208" t="s">
        <v>44</v>
      </c>
      <c r="B91" s="208"/>
      <c r="C91" s="208"/>
      <c r="D91" s="11">
        <f>SUM(D85:D90)</f>
        <v>624.92000000000007</v>
      </c>
    </row>
    <row r="94" spans="1:4" x14ac:dyDescent="0.2">
      <c r="A94" s="210" t="s">
        <v>73</v>
      </c>
      <c r="B94" s="210"/>
      <c r="C94" s="210"/>
      <c r="D94" s="210"/>
    </row>
    <row r="95" spans="1:4" x14ac:dyDescent="0.2">
      <c r="A95" s="9"/>
    </row>
    <row r="96" spans="1:4" ht="12.75" customHeight="1" x14ac:dyDescent="0.2">
      <c r="A96" s="178" t="s">
        <v>74</v>
      </c>
      <c r="B96" s="212" t="s">
        <v>75</v>
      </c>
      <c r="C96" s="212"/>
      <c r="D96" s="178" t="s">
        <v>10</v>
      </c>
    </row>
    <row r="97" spans="1:5" ht="12.75" customHeight="1" x14ac:dyDescent="0.2">
      <c r="A97" s="5" t="s">
        <v>11</v>
      </c>
      <c r="B97" s="209" t="s">
        <v>76</v>
      </c>
      <c r="C97" s="209"/>
      <c r="D97" s="7">
        <f>((D20+D64+D76)/220)*22*0</f>
        <v>0</v>
      </c>
      <c r="E97" s="19"/>
    </row>
    <row r="98" spans="1:5" ht="12.75" customHeight="1" x14ac:dyDescent="0.2">
      <c r="A98" s="208" t="s">
        <v>23</v>
      </c>
      <c r="B98" s="208"/>
      <c r="C98" s="208"/>
      <c r="D98" s="11">
        <f>SUM(D97)</f>
        <v>0</v>
      </c>
    </row>
    <row r="101" spans="1:5" x14ac:dyDescent="0.2">
      <c r="A101" s="210" t="s">
        <v>77</v>
      </c>
      <c r="B101" s="210"/>
      <c r="C101" s="210"/>
      <c r="D101" s="210"/>
    </row>
    <row r="102" spans="1:5" x14ac:dyDescent="0.2">
      <c r="A102" s="9"/>
    </row>
    <row r="103" spans="1:5" ht="12.75" customHeight="1" x14ac:dyDescent="0.2">
      <c r="A103" s="178">
        <v>4</v>
      </c>
      <c r="B103" s="208" t="s">
        <v>78</v>
      </c>
      <c r="C103" s="208"/>
      <c r="D103" s="178" t="s">
        <v>10</v>
      </c>
    </row>
    <row r="104" spans="1:5" ht="12.75" customHeight="1" x14ac:dyDescent="0.2">
      <c r="A104" s="5" t="s">
        <v>65</v>
      </c>
      <c r="B104" s="209" t="s">
        <v>66</v>
      </c>
      <c r="C104" s="209"/>
      <c r="D104" s="14">
        <f>D91</f>
        <v>624.92000000000007</v>
      </c>
    </row>
    <row r="105" spans="1:5" ht="12.75" customHeight="1" x14ac:dyDescent="0.2">
      <c r="A105" s="5" t="s">
        <v>74</v>
      </c>
      <c r="B105" s="209" t="s">
        <v>75</v>
      </c>
      <c r="C105" s="209"/>
      <c r="D105" s="14">
        <f>D98</f>
        <v>0</v>
      </c>
    </row>
    <row r="106" spans="1:5" ht="12.75" customHeight="1" x14ac:dyDescent="0.2">
      <c r="A106" s="208" t="s">
        <v>23</v>
      </c>
      <c r="B106" s="208"/>
      <c r="C106" s="208"/>
      <c r="D106" s="11">
        <f>SUM(D104:D105)</f>
        <v>624.92000000000007</v>
      </c>
    </row>
    <row r="109" spans="1:5" x14ac:dyDescent="0.2">
      <c r="A109" s="204" t="s">
        <v>79</v>
      </c>
      <c r="B109" s="204"/>
      <c r="C109" s="204"/>
      <c r="D109" s="204"/>
    </row>
    <row r="111" spans="1:5" ht="12.75" customHeight="1" x14ac:dyDescent="0.2">
      <c r="A111" s="178">
        <v>5</v>
      </c>
      <c r="B111" s="213" t="s">
        <v>80</v>
      </c>
      <c r="C111" s="213"/>
      <c r="D111" s="178" t="s">
        <v>10</v>
      </c>
    </row>
    <row r="112" spans="1:5" x14ac:dyDescent="0.2">
      <c r="A112" s="5" t="s">
        <v>11</v>
      </c>
      <c r="B112" s="179" t="s">
        <v>81</v>
      </c>
      <c r="C112" s="179"/>
      <c r="D112" s="7" t="s">
        <v>194</v>
      </c>
    </row>
    <row r="113" spans="1:8" x14ac:dyDescent="0.2">
      <c r="A113" s="5" t="s">
        <v>13</v>
      </c>
      <c r="B113" s="179" t="s">
        <v>209</v>
      </c>
      <c r="C113" s="179"/>
      <c r="D113" s="144">
        <f>2955/12</f>
        <v>246.25</v>
      </c>
      <c r="G113" s="143"/>
      <c r="H113" s="143"/>
    </row>
    <row r="114" spans="1:8" x14ac:dyDescent="0.2">
      <c r="A114" s="5" t="s">
        <v>15</v>
      </c>
      <c r="B114" s="179" t="s">
        <v>82</v>
      </c>
      <c r="C114" s="179"/>
      <c r="D114" s="144">
        <f>EPIs!F13</f>
        <v>9.2516666666666652</v>
      </c>
      <c r="G114" s="143"/>
    </row>
    <row r="115" spans="1:8" ht="12.75" customHeight="1" x14ac:dyDescent="0.2">
      <c r="A115" s="208" t="s">
        <v>44</v>
      </c>
      <c r="B115" s="208"/>
      <c r="C115" s="208"/>
      <c r="D115" s="8">
        <f>SUM(D112:D114)</f>
        <v>255.50166666666667</v>
      </c>
      <c r="G115" s="143"/>
    </row>
    <row r="116" spans="1:8" x14ac:dyDescent="0.2">
      <c r="G116" s="143"/>
    </row>
    <row r="117" spans="1:8" x14ac:dyDescent="0.2">
      <c r="G117" s="143"/>
    </row>
    <row r="118" spans="1:8" x14ac:dyDescent="0.2">
      <c r="A118" s="204" t="s">
        <v>83</v>
      </c>
      <c r="B118" s="204"/>
      <c r="C118" s="204"/>
      <c r="D118" s="204"/>
    </row>
    <row r="119" spans="1:8" x14ac:dyDescent="0.2">
      <c r="G119" s="143"/>
      <c r="H119" s="143"/>
    </row>
    <row r="120" spans="1:8" x14ac:dyDescent="0.2">
      <c r="A120" s="178">
        <v>6</v>
      </c>
      <c r="B120" s="180" t="s">
        <v>84</v>
      </c>
      <c r="C120" s="178" t="s">
        <v>33</v>
      </c>
      <c r="D120" s="178" t="s">
        <v>10</v>
      </c>
    </row>
    <row r="121" spans="1:8" x14ac:dyDescent="0.2">
      <c r="A121" s="5" t="s">
        <v>11</v>
      </c>
      <c r="B121" s="179" t="s">
        <v>85</v>
      </c>
      <c r="C121" s="195">
        <v>7.3749999999999996E-2</v>
      </c>
      <c r="D121" s="14">
        <f>D138*C121</f>
        <v>1452.7217229166665</v>
      </c>
    </row>
    <row r="122" spans="1:8" x14ac:dyDescent="0.2">
      <c r="A122" s="5" t="s">
        <v>13</v>
      </c>
      <c r="B122" s="179" t="s">
        <v>86</v>
      </c>
      <c r="C122" s="12">
        <v>7.3999999999999996E-2</v>
      </c>
      <c r="D122" s="7">
        <f>(D138+D121)*C122</f>
        <v>1565.1476108291665</v>
      </c>
    </row>
    <row r="123" spans="1:8" x14ac:dyDescent="0.2">
      <c r="A123" s="5" t="s">
        <v>15</v>
      </c>
      <c r="B123" s="179" t="s">
        <v>87</v>
      </c>
      <c r="C123" s="10">
        <f>SUM(C124:C126)</f>
        <v>8.6499999999999994E-2</v>
      </c>
      <c r="D123" s="7">
        <f>(D138+D121+D122)*C123/(1-C123)</f>
        <v>2150.9752835639642</v>
      </c>
    </row>
    <row r="124" spans="1:8" x14ac:dyDescent="0.2">
      <c r="A124" s="5"/>
      <c r="B124" s="179" t="s">
        <v>210</v>
      </c>
      <c r="C124" s="12">
        <v>3.6499999999999998E-2</v>
      </c>
      <c r="D124" s="14">
        <f>$D$140*C124</f>
        <v>907.63710499999991</v>
      </c>
    </row>
    <row r="125" spans="1:8" x14ac:dyDescent="0.2">
      <c r="A125" s="5"/>
      <c r="B125" s="179" t="s">
        <v>195</v>
      </c>
      <c r="C125" s="5"/>
      <c r="D125" s="14">
        <f>$D$140*C125</f>
        <v>0</v>
      </c>
    </row>
    <row r="126" spans="1:8" x14ac:dyDescent="0.2">
      <c r="A126" s="5"/>
      <c r="B126" s="179" t="s">
        <v>196</v>
      </c>
      <c r="C126" s="12">
        <v>0.05</v>
      </c>
      <c r="D126" s="14">
        <f>$D$140*C126</f>
        <v>1243.3385000000001</v>
      </c>
    </row>
    <row r="127" spans="1:8" ht="13.5" customHeight="1" x14ac:dyDescent="0.2">
      <c r="A127" s="214" t="s">
        <v>44</v>
      </c>
      <c r="B127" s="214"/>
      <c r="C127" s="21">
        <f>(1+C122)*(1+C121)/(1-C123)-1</f>
        <v>0.26240558292282423</v>
      </c>
      <c r="D127" s="11">
        <f>SUM(D121:D123)</f>
        <v>5168.8446173097973</v>
      </c>
    </row>
    <row r="130" spans="1:5" x14ac:dyDescent="0.2">
      <c r="A130" s="204" t="s">
        <v>88</v>
      </c>
      <c r="B130" s="204"/>
      <c r="C130" s="204"/>
      <c r="D130" s="204"/>
    </row>
    <row r="132" spans="1:5" ht="12.75" customHeight="1" x14ac:dyDescent="0.2">
      <c r="A132" s="178"/>
      <c r="B132" s="208" t="s">
        <v>89</v>
      </c>
      <c r="C132" s="208"/>
      <c r="D132" s="178" t="s">
        <v>10</v>
      </c>
    </row>
    <row r="133" spans="1:5" ht="12.75" customHeight="1" x14ac:dyDescent="0.2">
      <c r="A133" s="178" t="s">
        <v>11</v>
      </c>
      <c r="B133" s="209" t="s">
        <v>8</v>
      </c>
      <c r="C133" s="209"/>
      <c r="D133" s="22">
        <f>D20</f>
        <v>11097.89</v>
      </c>
    </row>
    <row r="134" spans="1:5" ht="12.75" customHeight="1" x14ac:dyDescent="0.2">
      <c r="A134" s="178" t="s">
        <v>13</v>
      </c>
      <c r="B134" s="209" t="s">
        <v>24</v>
      </c>
      <c r="C134" s="209"/>
      <c r="D134" s="22">
        <f>D64</f>
        <v>7036.01</v>
      </c>
    </row>
    <row r="135" spans="1:5" ht="12.75" customHeight="1" x14ac:dyDescent="0.2">
      <c r="A135" s="178" t="s">
        <v>15</v>
      </c>
      <c r="B135" s="209" t="s">
        <v>55</v>
      </c>
      <c r="C135" s="209"/>
      <c r="D135" s="22">
        <f>D76</f>
        <v>683.59999999999991</v>
      </c>
    </row>
    <row r="136" spans="1:5" ht="12.75" customHeight="1" x14ac:dyDescent="0.2">
      <c r="A136" s="178" t="s">
        <v>17</v>
      </c>
      <c r="B136" s="209" t="s">
        <v>63</v>
      </c>
      <c r="C136" s="209"/>
      <c r="D136" s="22">
        <f>D106</f>
        <v>624.92000000000007</v>
      </c>
    </row>
    <row r="137" spans="1:5" ht="12.75" customHeight="1" x14ac:dyDescent="0.2">
      <c r="A137" s="178" t="s">
        <v>19</v>
      </c>
      <c r="B137" s="209" t="s">
        <v>79</v>
      </c>
      <c r="C137" s="209"/>
      <c r="D137" s="22">
        <f>D115</f>
        <v>255.50166666666667</v>
      </c>
    </row>
    <row r="138" spans="1:5" ht="12.75" customHeight="1" x14ac:dyDescent="0.2">
      <c r="A138" s="208" t="s">
        <v>90</v>
      </c>
      <c r="B138" s="208"/>
      <c r="C138" s="208"/>
      <c r="D138" s="23">
        <f>SUM(D133:D137)</f>
        <v>19697.921666666665</v>
      </c>
    </row>
    <row r="139" spans="1:5" ht="12.75" customHeight="1" x14ac:dyDescent="0.2">
      <c r="A139" s="178" t="s">
        <v>39</v>
      </c>
      <c r="B139" s="209" t="s">
        <v>91</v>
      </c>
      <c r="C139" s="209"/>
      <c r="D139" s="24">
        <f>D127</f>
        <v>5168.8446173097973</v>
      </c>
    </row>
    <row r="140" spans="1:5" ht="12.75" customHeight="1" x14ac:dyDescent="0.2">
      <c r="A140" s="208" t="s">
        <v>92</v>
      </c>
      <c r="B140" s="208"/>
      <c r="C140" s="208"/>
      <c r="D140" s="23">
        <f>ROUND(SUM(D138:D139),2)</f>
        <v>24866.77</v>
      </c>
    </row>
    <row r="142" spans="1:5" x14ac:dyDescent="0.2">
      <c r="E142" s="142"/>
    </row>
  </sheetData>
  <mergeCells count="67"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B133:C133"/>
    <mergeCell ref="B103:C103"/>
    <mergeCell ref="B104:C104"/>
    <mergeCell ref="B105:C105"/>
    <mergeCell ref="A106:C106"/>
    <mergeCell ref="A109:D109"/>
    <mergeCell ref="B111:C111"/>
    <mergeCell ref="A115:C115"/>
    <mergeCell ref="A118:D118"/>
    <mergeCell ref="A127:B127"/>
    <mergeCell ref="A130:D130"/>
    <mergeCell ref="B132:C132"/>
    <mergeCell ref="A140:C140"/>
    <mergeCell ref="B134:C134"/>
    <mergeCell ref="B135:C135"/>
    <mergeCell ref="B136:C136"/>
    <mergeCell ref="B137:C137"/>
    <mergeCell ref="A138:C138"/>
    <mergeCell ref="B139:C139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4" max="16383" man="1"/>
    <brk id="12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zoomScaleNormal="100" workbookViewId="0">
      <selection activeCell="F12" sqref="F12"/>
    </sheetView>
  </sheetViews>
  <sheetFormatPr defaultColWidth="8.6640625" defaultRowHeight="12.75" x14ac:dyDescent="0.2"/>
  <cols>
    <col min="2" max="2" width="34.83203125" customWidth="1"/>
    <col min="4" max="4" width="14.6640625" customWidth="1"/>
    <col min="5" max="5" width="16.1640625" customWidth="1"/>
    <col min="6" max="6" width="16.5" customWidth="1"/>
  </cols>
  <sheetData>
    <row r="3" spans="1:6" x14ac:dyDescent="0.2">
      <c r="B3" s="25" t="s">
        <v>93</v>
      </c>
    </row>
    <row r="5" spans="1:6" ht="24" x14ac:dyDescent="0.2">
      <c r="A5" s="26" t="s">
        <v>94</v>
      </c>
      <c r="B5" s="26" t="s">
        <v>95</v>
      </c>
      <c r="C5" s="26" t="s">
        <v>96</v>
      </c>
      <c r="D5" s="26" t="s">
        <v>97</v>
      </c>
      <c r="E5" s="26" t="s">
        <v>98</v>
      </c>
      <c r="F5" s="26" t="s">
        <v>99</v>
      </c>
    </row>
    <row r="6" spans="1:6" ht="51.75" customHeight="1" x14ac:dyDescent="0.2">
      <c r="A6" s="27">
        <v>1</v>
      </c>
      <c r="B6" s="27" t="s">
        <v>100</v>
      </c>
      <c r="C6" s="27" t="s">
        <v>101</v>
      </c>
      <c r="D6" s="27">
        <v>1</v>
      </c>
      <c r="E6" s="27">
        <v>12892</v>
      </c>
      <c r="F6" s="28">
        <v>11.7</v>
      </c>
    </row>
    <row r="7" spans="1:6" ht="58.5" customHeight="1" x14ac:dyDescent="0.2">
      <c r="A7" s="27">
        <v>3</v>
      </c>
      <c r="B7" s="27" t="s">
        <v>102</v>
      </c>
      <c r="C7" s="27" t="s">
        <v>96</v>
      </c>
      <c r="D7" s="27">
        <v>1</v>
      </c>
      <c r="E7" s="27">
        <v>12894</v>
      </c>
      <c r="F7" s="28">
        <v>16.899999999999999</v>
      </c>
    </row>
    <row r="8" spans="1:6" ht="73.5" customHeight="1" x14ac:dyDescent="0.2">
      <c r="A8" s="27">
        <v>4</v>
      </c>
      <c r="B8" s="27" t="s">
        <v>103</v>
      </c>
      <c r="C8" s="27" t="s">
        <v>96</v>
      </c>
      <c r="D8" s="27">
        <v>1</v>
      </c>
      <c r="E8" s="27">
        <v>12895</v>
      </c>
      <c r="F8" s="28">
        <v>13</v>
      </c>
    </row>
    <row r="9" spans="1:6" ht="66" customHeight="1" x14ac:dyDescent="0.2">
      <c r="A9" s="27">
        <v>5</v>
      </c>
      <c r="B9" s="27" t="s">
        <v>104</v>
      </c>
      <c r="C9" s="27" t="s">
        <v>96</v>
      </c>
      <c r="D9" s="27">
        <v>1</v>
      </c>
      <c r="E9" s="27">
        <v>36142</v>
      </c>
      <c r="F9" s="28">
        <v>1.95</v>
      </c>
    </row>
    <row r="10" spans="1:6" ht="70.5" customHeight="1" x14ac:dyDescent="0.2">
      <c r="A10" s="27">
        <v>6</v>
      </c>
      <c r="B10" s="27" t="s">
        <v>105</v>
      </c>
      <c r="C10" s="27" t="s">
        <v>96</v>
      </c>
      <c r="D10" s="27">
        <v>1</v>
      </c>
      <c r="E10" s="27">
        <v>36148</v>
      </c>
      <c r="F10" s="28">
        <v>62.4</v>
      </c>
    </row>
    <row r="11" spans="1:6" ht="71.25" customHeight="1" x14ac:dyDescent="0.2">
      <c r="A11" s="27">
        <v>7</v>
      </c>
      <c r="B11" s="27" t="s">
        <v>106</v>
      </c>
      <c r="C11" s="27" t="s">
        <v>96</v>
      </c>
      <c r="D11" s="27">
        <v>1</v>
      </c>
      <c r="E11" s="27">
        <v>36152</v>
      </c>
      <c r="F11" s="28">
        <v>5.07</v>
      </c>
    </row>
    <row r="12" spans="1:6" ht="20.25" customHeight="1" x14ac:dyDescent="0.2">
      <c r="A12" s="215" t="s">
        <v>107</v>
      </c>
      <c r="B12" s="215"/>
      <c r="C12" s="215"/>
      <c r="D12" s="215"/>
      <c r="E12" s="215"/>
      <c r="F12" s="29">
        <f>SUM(F6:F11)</f>
        <v>111.01999999999998</v>
      </c>
    </row>
    <row r="13" spans="1:6" ht="18.75" customHeight="1" x14ac:dyDescent="0.2">
      <c r="A13" s="216" t="s">
        <v>108</v>
      </c>
      <c r="B13" s="216"/>
      <c r="C13" s="216"/>
      <c r="D13" s="216"/>
      <c r="E13" s="216"/>
      <c r="F13" s="30">
        <f>F12/12</f>
        <v>9.2516666666666652</v>
      </c>
    </row>
  </sheetData>
  <mergeCells count="2">
    <mergeCell ref="A12:E12"/>
    <mergeCell ref="A13:E13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1"/>
  <sheetViews>
    <sheetView zoomScaleNormal="100" workbookViewId="0">
      <selection activeCell="E6" sqref="E6"/>
    </sheetView>
  </sheetViews>
  <sheetFormatPr defaultColWidth="8.6640625" defaultRowHeight="12.75" x14ac:dyDescent="0.2"/>
  <cols>
    <col min="1" max="1" width="13.83203125" customWidth="1"/>
    <col min="2" max="2" width="16.6640625" customWidth="1"/>
    <col min="3" max="3" width="10.6640625" customWidth="1"/>
    <col min="4" max="4" width="10.83203125" customWidth="1"/>
    <col min="5" max="5" width="13.5" customWidth="1"/>
    <col min="6" max="6" width="17" customWidth="1"/>
    <col min="7" max="7" width="12.83203125" customWidth="1"/>
    <col min="8" max="8" width="19" customWidth="1"/>
  </cols>
  <sheetData>
    <row r="4" spans="1:8" ht="12.75" customHeight="1" x14ac:dyDescent="0.2">
      <c r="A4" s="220" t="s">
        <v>109</v>
      </c>
      <c r="B4" s="221" t="s">
        <v>110</v>
      </c>
      <c r="C4" s="221" t="s">
        <v>111</v>
      </c>
      <c r="D4" s="221"/>
      <c r="E4" s="222" t="s">
        <v>112</v>
      </c>
      <c r="F4" s="222"/>
      <c r="G4" s="222" t="s">
        <v>113</v>
      </c>
      <c r="H4" s="222"/>
    </row>
    <row r="5" spans="1:8" ht="25.5" x14ac:dyDescent="0.2">
      <c r="A5" s="220"/>
      <c r="B5" s="221"/>
      <c r="C5" s="31" t="s">
        <v>114</v>
      </c>
      <c r="D5" s="31" t="s">
        <v>115</v>
      </c>
      <c r="E5" s="32" t="s">
        <v>114</v>
      </c>
      <c r="F5" s="32" t="s">
        <v>115</v>
      </c>
      <c r="G5" s="32" t="s">
        <v>114</v>
      </c>
      <c r="H5" s="32" t="s">
        <v>115</v>
      </c>
    </row>
    <row r="6" spans="1:8" ht="30" customHeight="1" x14ac:dyDescent="0.2">
      <c r="A6" s="33" t="s">
        <v>116</v>
      </c>
      <c r="B6" s="34">
        <f>arqeng!D20</f>
        <v>11097.89</v>
      </c>
      <c r="C6" s="164">
        <v>8</v>
      </c>
      <c r="D6" s="35">
        <v>3</v>
      </c>
      <c r="E6" s="36">
        <f>ROUND(($B$6*(1+arqeng!$C$44)*(1+arqeng!$C$127)/200)*1.5,2)</f>
        <v>143.74</v>
      </c>
      <c r="F6" s="36">
        <f>ROUND(($B$6*(1+arqeng!$C$44)*(1+arqeng!$C$127)/200)*2,2)</f>
        <v>191.66</v>
      </c>
      <c r="G6" s="37">
        <f>C6*E6</f>
        <v>1149.92</v>
      </c>
      <c r="H6" s="36">
        <f>D6*F6</f>
        <v>574.98</v>
      </c>
    </row>
    <row r="7" spans="1:8" x14ac:dyDescent="0.2">
      <c r="G7" s="38">
        <f>SUM(G6:G6)</f>
        <v>1149.92</v>
      </c>
      <c r="H7" s="38">
        <f>SUM(H6:H6)</f>
        <v>574.98</v>
      </c>
    </row>
    <row r="8" spans="1:8" x14ac:dyDescent="0.2">
      <c r="E8" s="217" t="s">
        <v>117</v>
      </c>
      <c r="F8" s="217"/>
      <c r="G8" s="218">
        <f>(G7+H7)*8</f>
        <v>13799.2</v>
      </c>
      <c r="H8" s="218"/>
    </row>
    <row r="9" spans="1:8" x14ac:dyDescent="0.2">
      <c r="D9" s="222" t="s">
        <v>208</v>
      </c>
      <c r="E9" s="222"/>
      <c r="F9" s="222"/>
      <c r="G9" s="219">
        <f>G8*12</f>
        <v>165590.40000000002</v>
      </c>
      <c r="H9" s="219"/>
    </row>
    <row r="11" spans="1:8" x14ac:dyDescent="0.2">
      <c r="H11" s="145"/>
    </row>
  </sheetData>
  <mergeCells count="9">
    <mergeCell ref="E8:F8"/>
    <mergeCell ref="G8:H8"/>
    <mergeCell ref="G9:H9"/>
    <mergeCell ref="A4:A5"/>
    <mergeCell ref="B4:B5"/>
    <mergeCell ref="C4:D4"/>
    <mergeCell ref="E4:F4"/>
    <mergeCell ref="G4:H4"/>
    <mergeCell ref="D9:F9"/>
  </mergeCells>
  <pageMargins left="0.51180555555555496" right="0.51180555555555496" top="0.78749999999999998" bottom="0.78749999999999998" header="0.51180555555555496" footer="0.51180555555555496"/>
  <pageSetup paperSize="9" scale="90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1"/>
  <sheetViews>
    <sheetView zoomScaleNormal="100" workbookViewId="0">
      <selection activeCell="F8" sqref="F8"/>
    </sheetView>
  </sheetViews>
  <sheetFormatPr defaultColWidth="10" defaultRowHeight="12.75" x14ac:dyDescent="0.2"/>
  <cols>
    <col min="1" max="1" width="18.33203125" style="41" customWidth="1"/>
    <col min="2" max="2" width="12" style="41" customWidth="1"/>
    <col min="3" max="3" width="11.1640625" style="41" customWidth="1"/>
    <col min="4" max="4" width="10.6640625" style="42" customWidth="1"/>
    <col min="5" max="5" width="11.33203125" style="43" customWidth="1"/>
    <col min="6" max="6" width="10.5" style="44" customWidth="1"/>
    <col min="7" max="9" width="11.33203125" style="45" customWidth="1"/>
    <col min="10" max="10" width="13.5" style="45" customWidth="1"/>
    <col min="11" max="11" width="10.5" style="41" customWidth="1"/>
    <col min="12" max="12" width="11.5" style="41" customWidth="1"/>
    <col min="13" max="13" width="13.5" style="41" customWidth="1"/>
    <col min="14" max="14" width="10.83203125" style="46" customWidth="1"/>
    <col min="15" max="15" width="14.1640625" style="47" customWidth="1"/>
    <col min="16" max="16" width="6.1640625" style="48" customWidth="1"/>
    <col min="17" max="17" width="15.5" style="49" customWidth="1"/>
    <col min="18" max="1024" width="10" style="41"/>
  </cols>
  <sheetData>
    <row r="1" spans="1:18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51"/>
    </row>
    <row r="2" spans="1:18" x14ac:dyDescent="0.2">
      <c r="A2" s="224" t="s">
        <v>125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51"/>
    </row>
    <row r="3" spans="1:18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8" s="54" customFormat="1" ht="11.25" x14ac:dyDescent="0.2">
      <c r="A4" s="225" t="s">
        <v>126</v>
      </c>
      <c r="B4" s="225"/>
      <c r="C4" s="225"/>
      <c r="D4" s="225"/>
      <c r="E4" s="225"/>
      <c r="F4" s="225"/>
      <c r="G4" s="53"/>
      <c r="H4" s="53"/>
      <c r="I4" s="53"/>
      <c r="J4" s="53"/>
      <c r="N4" s="46"/>
      <c r="O4" s="46"/>
      <c r="P4" s="55"/>
      <c r="Q4" s="56"/>
    </row>
    <row r="5" spans="1:18" x14ac:dyDescent="0.2">
      <c r="A5" s="226" t="s">
        <v>127</v>
      </c>
      <c r="B5" s="226"/>
      <c r="C5" s="226"/>
      <c r="D5" s="226"/>
      <c r="E5" s="226"/>
      <c r="F5" s="57">
        <v>80</v>
      </c>
    </row>
    <row r="6" spans="1:18" x14ac:dyDescent="0.2">
      <c r="A6" s="226" t="s">
        <v>128</v>
      </c>
      <c r="B6" s="226"/>
      <c r="C6" s="226"/>
      <c r="D6" s="226"/>
      <c r="E6" s="226"/>
      <c r="F6" s="57">
        <v>4</v>
      </c>
    </row>
    <row r="7" spans="1:18" x14ac:dyDescent="0.2">
      <c r="A7" s="226" t="s">
        <v>129</v>
      </c>
      <c r="B7" s="226"/>
      <c r="C7" s="226"/>
      <c r="D7" s="226"/>
      <c r="E7" s="226"/>
      <c r="F7" s="57">
        <f>'Valor médio de diárias de carro'!B14</f>
        <v>90</v>
      </c>
    </row>
    <row r="8" spans="1:18" x14ac:dyDescent="0.2">
      <c r="A8" s="226" t="s">
        <v>130</v>
      </c>
      <c r="B8" s="226"/>
      <c r="C8" s="226"/>
      <c r="D8" s="226"/>
      <c r="E8" s="226"/>
      <c r="F8" s="58" t="s">
        <v>131</v>
      </c>
    </row>
    <row r="9" spans="1:18" x14ac:dyDescent="0.2">
      <c r="A9" s="226" t="s">
        <v>132</v>
      </c>
      <c r="B9" s="226"/>
      <c r="C9" s="226"/>
      <c r="D9" s="226"/>
      <c r="E9" s="226"/>
      <c r="F9" s="59">
        <f>'Valor médio gasolina comum'!C24</f>
        <v>7.2140000000000004</v>
      </c>
    </row>
    <row r="10" spans="1:18" x14ac:dyDescent="0.2">
      <c r="A10" s="226" t="s">
        <v>133</v>
      </c>
      <c r="B10" s="226"/>
      <c r="C10" s="226"/>
      <c r="D10" s="226"/>
      <c r="E10" s="226"/>
      <c r="F10" s="57">
        <v>10</v>
      </c>
    </row>
    <row r="11" spans="1:18" x14ac:dyDescent="0.2">
      <c r="A11" s="226" t="s">
        <v>134</v>
      </c>
      <c r="B11" s="226"/>
      <c r="C11" s="226"/>
      <c r="D11" s="226"/>
      <c r="E11" s="226"/>
      <c r="F11" s="60">
        <f>'Valor diarias de hotel e alimen'!C13</f>
        <v>200</v>
      </c>
    </row>
    <row r="12" spans="1:18" x14ac:dyDescent="0.2">
      <c r="N12" s="61"/>
    </row>
    <row r="13" spans="1:18" x14ac:dyDescent="0.2">
      <c r="A13" s="62"/>
      <c r="B13" s="62"/>
      <c r="C13" s="62"/>
    </row>
    <row r="14" spans="1:18" s="73" customFormat="1" ht="90" x14ac:dyDescent="0.2">
      <c r="A14" s="63" t="s">
        <v>135</v>
      </c>
      <c r="B14" s="64" t="s">
        <v>136</v>
      </c>
      <c r="C14" s="64" t="s">
        <v>137</v>
      </c>
      <c r="D14" s="65" t="s">
        <v>138</v>
      </c>
      <c r="E14" s="66" t="s">
        <v>139</v>
      </c>
      <c r="F14" s="67" t="s">
        <v>140</v>
      </c>
      <c r="G14" s="68" t="s">
        <v>141</v>
      </c>
      <c r="H14" s="68" t="s">
        <v>142</v>
      </c>
      <c r="I14" s="68" t="s">
        <v>143</v>
      </c>
      <c r="J14" s="64" t="s">
        <v>144</v>
      </c>
      <c r="K14" s="64" t="s">
        <v>145</v>
      </c>
      <c r="L14" s="64" t="s">
        <v>146</v>
      </c>
      <c r="M14" s="64" t="s">
        <v>147</v>
      </c>
      <c r="N14" s="69" t="s">
        <v>148</v>
      </c>
      <c r="O14" s="70" t="s">
        <v>149</v>
      </c>
      <c r="P14" s="71"/>
      <c r="Q14" s="72" t="s">
        <v>150</v>
      </c>
    </row>
    <row r="15" spans="1:18" s="83" customFormat="1" ht="11.25" x14ac:dyDescent="0.2">
      <c r="A15" s="74" t="s">
        <v>151</v>
      </c>
      <c r="B15" s="75" t="s">
        <v>151</v>
      </c>
      <c r="C15" s="75" t="s">
        <v>152</v>
      </c>
      <c r="D15" s="76" t="s">
        <v>153</v>
      </c>
      <c r="E15" s="77" t="s">
        <v>153</v>
      </c>
      <c r="F15" s="78" t="s">
        <v>153</v>
      </c>
      <c r="G15" s="76" t="s">
        <v>154</v>
      </c>
      <c r="H15" s="76" t="s">
        <v>155</v>
      </c>
      <c r="I15" s="75" t="s">
        <v>155</v>
      </c>
      <c r="J15" s="75" t="s">
        <v>156</v>
      </c>
      <c r="K15" s="75" t="s">
        <v>156</v>
      </c>
      <c r="L15" s="75" t="s">
        <v>156</v>
      </c>
      <c r="M15" s="75" t="s">
        <v>156</v>
      </c>
      <c r="N15" s="79">
        <f>arqeng!C127</f>
        <v>0.26240558292282423</v>
      </c>
      <c r="O15" s="80" t="s">
        <v>156</v>
      </c>
      <c r="P15" s="81"/>
      <c r="Q15" s="82"/>
    </row>
    <row r="16" spans="1:18" s="83" customFormat="1" ht="11.25" x14ac:dyDescent="0.2">
      <c r="A16" s="84">
        <v>100</v>
      </c>
      <c r="B16" s="85">
        <v>20</v>
      </c>
      <c r="C16" s="86">
        <f t="shared" ref="C16:C37" si="0">((A16+B16)/10)</f>
        <v>12</v>
      </c>
      <c r="D16" s="87">
        <f t="shared" ref="D16:D37" si="1">((A16+B16)/80)</f>
        <v>1.5</v>
      </c>
      <c r="E16" s="88">
        <v>4</v>
      </c>
      <c r="F16" s="89">
        <f t="shared" ref="F16:F37" si="2">D16+E16</f>
        <v>5.5</v>
      </c>
      <c r="G16" s="90">
        <f t="shared" ref="G16:G37" si="3">F16/9</f>
        <v>0.61111111111111116</v>
      </c>
      <c r="H16" s="91">
        <f t="shared" ref="H16:H37" si="4">ROUNDUP(G16,0)</f>
        <v>1</v>
      </c>
      <c r="I16" s="92">
        <f t="shared" ref="I16:I37" si="5">H16-0.5</f>
        <v>0.5</v>
      </c>
      <c r="J16" s="93">
        <f t="shared" ref="J16:J37" si="6">C16*$F$9</f>
        <v>86.568000000000012</v>
      </c>
      <c r="K16" s="94">
        <f t="shared" ref="K16:K37" si="7">H16*$F$7</f>
        <v>90</v>
      </c>
      <c r="L16" s="94">
        <f t="shared" ref="L16:L37" si="8">(I16*$F$11)*1</f>
        <v>100</v>
      </c>
      <c r="M16" s="95">
        <f t="shared" ref="M16:M37" si="9">J16+K16+L16</f>
        <v>276.56799999999998</v>
      </c>
      <c r="N16" s="93">
        <f t="shared" ref="N16:N37" si="10">M16*$N$15</f>
        <v>72.572987257799653</v>
      </c>
      <c r="O16" s="96">
        <f t="shared" ref="O16:O37" si="11">M16+N16</f>
        <v>349.14098725779962</v>
      </c>
      <c r="P16" s="71">
        <v>1</v>
      </c>
      <c r="Q16" s="97">
        <f t="shared" ref="Q16:Q37" si="12">O16/H16</f>
        <v>349.14098725779962</v>
      </c>
      <c r="R16" s="98"/>
    </row>
    <row r="17" spans="1:18" s="83" customFormat="1" ht="11.25" x14ac:dyDescent="0.2">
      <c r="A17" s="84">
        <v>200</v>
      </c>
      <c r="B17" s="85">
        <v>20</v>
      </c>
      <c r="C17" s="86">
        <f t="shared" si="0"/>
        <v>22</v>
      </c>
      <c r="D17" s="87">
        <f t="shared" si="1"/>
        <v>2.75</v>
      </c>
      <c r="E17" s="88">
        <v>4</v>
      </c>
      <c r="F17" s="89">
        <f t="shared" si="2"/>
        <v>6.75</v>
      </c>
      <c r="G17" s="90">
        <f t="shared" si="3"/>
        <v>0.75</v>
      </c>
      <c r="H17" s="91">
        <f t="shared" si="4"/>
        <v>1</v>
      </c>
      <c r="I17" s="92">
        <f t="shared" si="5"/>
        <v>0.5</v>
      </c>
      <c r="J17" s="93">
        <f t="shared" si="6"/>
        <v>158.708</v>
      </c>
      <c r="K17" s="94">
        <f t="shared" si="7"/>
        <v>90</v>
      </c>
      <c r="L17" s="94">
        <f t="shared" si="8"/>
        <v>100</v>
      </c>
      <c r="M17" s="95">
        <f t="shared" si="9"/>
        <v>348.70799999999997</v>
      </c>
      <c r="N17" s="93">
        <f t="shared" si="10"/>
        <v>91.502926009852189</v>
      </c>
      <c r="O17" s="96">
        <f t="shared" si="11"/>
        <v>440.21092600985219</v>
      </c>
      <c r="P17" s="71">
        <v>2</v>
      </c>
      <c r="Q17" s="97">
        <f t="shared" si="12"/>
        <v>440.21092600985219</v>
      </c>
      <c r="R17" s="98"/>
    </row>
    <row r="18" spans="1:18" s="73" customFormat="1" ht="11.25" x14ac:dyDescent="0.2">
      <c r="A18" s="84">
        <v>300</v>
      </c>
      <c r="B18" s="85">
        <v>20</v>
      </c>
      <c r="C18" s="86">
        <f t="shared" si="0"/>
        <v>32</v>
      </c>
      <c r="D18" s="87">
        <f t="shared" si="1"/>
        <v>4</v>
      </c>
      <c r="E18" s="88">
        <v>4</v>
      </c>
      <c r="F18" s="89">
        <f t="shared" si="2"/>
        <v>8</v>
      </c>
      <c r="G18" s="90">
        <f t="shared" si="3"/>
        <v>0.88888888888888884</v>
      </c>
      <c r="H18" s="91">
        <f t="shared" si="4"/>
        <v>1</v>
      </c>
      <c r="I18" s="92">
        <f t="shared" si="5"/>
        <v>0.5</v>
      </c>
      <c r="J18" s="93">
        <f t="shared" si="6"/>
        <v>230.84800000000001</v>
      </c>
      <c r="K18" s="95">
        <f t="shared" si="7"/>
        <v>90</v>
      </c>
      <c r="L18" s="94">
        <f t="shared" si="8"/>
        <v>100</v>
      </c>
      <c r="M18" s="95">
        <f t="shared" si="9"/>
        <v>420.84800000000001</v>
      </c>
      <c r="N18" s="93">
        <f t="shared" si="10"/>
        <v>110.43286476190474</v>
      </c>
      <c r="O18" s="96">
        <f t="shared" si="11"/>
        <v>531.2808647619047</v>
      </c>
      <c r="P18" s="71">
        <v>3</v>
      </c>
      <c r="Q18" s="97">
        <f t="shared" si="12"/>
        <v>531.2808647619047</v>
      </c>
      <c r="R18" s="99"/>
    </row>
    <row r="19" spans="1:18" s="73" customFormat="1" ht="11.25" x14ac:dyDescent="0.2">
      <c r="A19" s="84">
        <v>400</v>
      </c>
      <c r="B19" s="85">
        <v>20</v>
      </c>
      <c r="C19" s="86">
        <f t="shared" si="0"/>
        <v>42</v>
      </c>
      <c r="D19" s="87">
        <f t="shared" si="1"/>
        <v>5.25</v>
      </c>
      <c r="E19" s="88">
        <v>4</v>
      </c>
      <c r="F19" s="89">
        <f t="shared" si="2"/>
        <v>9.25</v>
      </c>
      <c r="G19" s="90">
        <f t="shared" si="3"/>
        <v>1.0277777777777777</v>
      </c>
      <c r="H19" s="91">
        <f t="shared" si="4"/>
        <v>2</v>
      </c>
      <c r="I19" s="92">
        <f t="shared" si="5"/>
        <v>1.5</v>
      </c>
      <c r="J19" s="93">
        <f t="shared" si="6"/>
        <v>302.988</v>
      </c>
      <c r="K19" s="95">
        <f t="shared" si="7"/>
        <v>180</v>
      </c>
      <c r="L19" s="94">
        <f t="shared" si="8"/>
        <v>300</v>
      </c>
      <c r="M19" s="95">
        <f t="shared" si="9"/>
        <v>782.98800000000006</v>
      </c>
      <c r="N19" s="93">
        <f t="shared" si="10"/>
        <v>205.46042256157631</v>
      </c>
      <c r="O19" s="96">
        <f t="shared" si="11"/>
        <v>988.44842256157631</v>
      </c>
      <c r="P19" s="71">
        <v>4</v>
      </c>
      <c r="Q19" s="97">
        <f t="shared" si="12"/>
        <v>494.22421128078815</v>
      </c>
      <c r="R19" s="98"/>
    </row>
    <row r="20" spans="1:18" s="73" customFormat="1" ht="11.25" x14ac:dyDescent="0.2">
      <c r="A20" s="84">
        <v>500</v>
      </c>
      <c r="B20" s="85">
        <v>20</v>
      </c>
      <c r="C20" s="86">
        <f t="shared" si="0"/>
        <v>52</v>
      </c>
      <c r="D20" s="87">
        <f t="shared" si="1"/>
        <v>6.5</v>
      </c>
      <c r="E20" s="88">
        <v>4</v>
      </c>
      <c r="F20" s="89">
        <f t="shared" si="2"/>
        <v>10.5</v>
      </c>
      <c r="G20" s="90">
        <f t="shared" si="3"/>
        <v>1.1666666666666667</v>
      </c>
      <c r="H20" s="91">
        <f t="shared" si="4"/>
        <v>2</v>
      </c>
      <c r="I20" s="92">
        <f t="shared" si="5"/>
        <v>1.5</v>
      </c>
      <c r="J20" s="93">
        <f t="shared" si="6"/>
        <v>375.12800000000004</v>
      </c>
      <c r="K20" s="95">
        <f t="shared" si="7"/>
        <v>180</v>
      </c>
      <c r="L20" s="94">
        <f t="shared" si="8"/>
        <v>300</v>
      </c>
      <c r="M20" s="95">
        <f t="shared" si="9"/>
        <v>855.12800000000004</v>
      </c>
      <c r="N20" s="93">
        <f t="shared" si="10"/>
        <v>224.39036131362886</v>
      </c>
      <c r="O20" s="96">
        <f t="shared" si="11"/>
        <v>1079.5183613136289</v>
      </c>
      <c r="P20" s="71">
        <v>5</v>
      </c>
      <c r="Q20" s="97">
        <f t="shared" si="12"/>
        <v>539.75918065681446</v>
      </c>
      <c r="R20" s="98"/>
    </row>
    <row r="21" spans="1:18" s="73" customFormat="1" ht="11.25" x14ac:dyDescent="0.2">
      <c r="A21" s="84">
        <v>600</v>
      </c>
      <c r="B21" s="85">
        <v>20</v>
      </c>
      <c r="C21" s="86">
        <f t="shared" si="0"/>
        <v>62</v>
      </c>
      <c r="D21" s="87">
        <f t="shared" si="1"/>
        <v>7.75</v>
      </c>
      <c r="E21" s="88">
        <v>4</v>
      </c>
      <c r="F21" s="89">
        <f t="shared" si="2"/>
        <v>11.75</v>
      </c>
      <c r="G21" s="90">
        <f t="shared" si="3"/>
        <v>1.3055555555555556</v>
      </c>
      <c r="H21" s="91">
        <f t="shared" si="4"/>
        <v>2</v>
      </c>
      <c r="I21" s="92">
        <f t="shared" si="5"/>
        <v>1.5</v>
      </c>
      <c r="J21" s="93">
        <f t="shared" si="6"/>
        <v>447.26800000000003</v>
      </c>
      <c r="K21" s="95">
        <f t="shared" si="7"/>
        <v>180</v>
      </c>
      <c r="L21" s="94">
        <f t="shared" si="8"/>
        <v>300</v>
      </c>
      <c r="M21" s="95">
        <f t="shared" si="9"/>
        <v>927.26800000000003</v>
      </c>
      <c r="N21" s="93">
        <f t="shared" si="10"/>
        <v>243.32030006568138</v>
      </c>
      <c r="O21" s="96">
        <f t="shared" si="11"/>
        <v>1170.5883000656813</v>
      </c>
      <c r="P21" s="71">
        <v>6</v>
      </c>
      <c r="Q21" s="97">
        <f t="shared" si="12"/>
        <v>585.29415003284066</v>
      </c>
      <c r="R21" s="98"/>
    </row>
    <row r="22" spans="1:18" s="73" customFormat="1" ht="11.25" x14ac:dyDescent="0.2">
      <c r="A22" s="84">
        <v>700</v>
      </c>
      <c r="B22" s="85">
        <v>20</v>
      </c>
      <c r="C22" s="86">
        <f t="shared" si="0"/>
        <v>72</v>
      </c>
      <c r="D22" s="87">
        <f t="shared" si="1"/>
        <v>9</v>
      </c>
      <c r="E22" s="88">
        <v>4</v>
      </c>
      <c r="F22" s="89">
        <f t="shared" si="2"/>
        <v>13</v>
      </c>
      <c r="G22" s="90">
        <f t="shared" si="3"/>
        <v>1.4444444444444444</v>
      </c>
      <c r="H22" s="91">
        <f t="shared" si="4"/>
        <v>2</v>
      </c>
      <c r="I22" s="92">
        <f t="shared" si="5"/>
        <v>1.5</v>
      </c>
      <c r="J22" s="93">
        <f t="shared" si="6"/>
        <v>519.40800000000002</v>
      </c>
      <c r="K22" s="95">
        <f t="shared" si="7"/>
        <v>180</v>
      </c>
      <c r="L22" s="94">
        <f t="shared" si="8"/>
        <v>300</v>
      </c>
      <c r="M22" s="95">
        <f t="shared" si="9"/>
        <v>999.40800000000002</v>
      </c>
      <c r="N22" s="93">
        <f t="shared" si="10"/>
        <v>262.25023881773393</v>
      </c>
      <c r="O22" s="96">
        <f t="shared" si="11"/>
        <v>1261.6582388177339</v>
      </c>
      <c r="P22" s="71">
        <v>7</v>
      </c>
      <c r="Q22" s="97">
        <f t="shared" si="12"/>
        <v>630.82911940886697</v>
      </c>
      <c r="R22" s="98"/>
    </row>
    <row r="23" spans="1:18" s="73" customFormat="1" ht="11.25" x14ac:dyDescent="0.2">
      <c r="A23" s="84">
        <v>800</v>
      </c>
      <c r="B23" s="85">
        <v>20</v>
      </c>
      <c r="C23" s="86">
        <f t="shared" si="0"/>
        <v>82</v>
      </c>
      <c r="D23" s="87">
        <f t="shared" si="1"/>
        <v>10.25</v>
      </c>
      <c r="E23" s="88">
        <v>4</v>
      </c>
      <c r="F23" s="89">
        <f t="shared" si="2"/>
        <v>14.25</v>
      </c>
      <c r="G23" s="90">
        <f t="shared" si="3"/>
        <v>1.5833333333333333</v>
      </c>
      <c r="H23" s="91">
        <f t="shared" si="4"/>
        <v>2</v>
      </c>
      <c r="I23" s="92">
        <f t="shared" si="5"/>
        <v>1.5</v>
      </c>
      <c r="J23" s="93">
        <f t="shared" si="6"/>
        <v>591.548</v>
      </c>
      <c r="K23" s="95">
        <f t="shared" si="7"/>
        <v>180</v>
      </c>
      <c r="L23" s="94">
        <f t="shared" si="8"/>
        <v>300</v>
      </c>
      <c r="M23" s="95">
        <f t="shared" si="9"/>
        <v>1071.548</v>
      </c>
      <c r="N23" s="93">
        <f t="shared" si="10"/>
        <v>281.18017756978645</v>
      </c>
      <c r="O23" s="96">
        <f t="shared" si="11"/>
        <v>1352.7281775697866</v>
      </c>
      <c r="P23" s="71">
        <v>8</v>
      </c>
      <c r="Q23" s="97">
        <f t="shared" si="12"/>
        <v>676.36408878489328</v>
      </c>
      <c r="R23" s="98"/>
    </row>
    <row r="24" spans="1:18" s="73" customFormat="1" ht="11.25" x14ac:dyDescent="0.2">
      <c r="A24" s="84">
        <v>900</v>
      </c>
      <c r="B24" s="85">
        <v>20</v>
      </c>
      <c r="C24" s="86">
        <f t="shared" si="0"/>
        <v>92</v>
      </c>
      <c r="D24" s="87">
        <f t="shared" si="1"/>
        <v>11.5</v>
      </c>
      <c r="E24" s="88">
        <v>4</v>
      </c>
      <c r="F24" s="89">
        <f t="shared" si="2"/>
        <v>15.5</v>
      </c>
      <c r="G24" s="90">
        <f t="shared" si="3"/>
        <v>1.7222222222222223</v>
      </c>
      <c r="H24" s="91">
        <f t="shared" si="4"/>
        <v>2</v>
      </c>
      <c r="I24" s="92">
        <f t="shared" si="5"/>
        <v>1.5</v>
      </c>
      <c r="J24" s="93">
        <f t="shared" si="6"/>
        <v>663.68799999999999</v>
      </c>
      <c r="K24" s="95">
        <f t="shared" si="7"/>
        <v>180</v>
      </c>
      <c r="L24" s="94">
        <f t="shared" si="8"/>
        <v>300</v>
      </c>
      <c r="M24" s="95">
        <f t="shared" si="9"/>
        <v>1143.6880000000001</v>
      </c>
      <c r="N24" s="93">
        <f t="shared" si="10"/>
        <v>300.11011632183903</v>
      </c>
      <c r="O24" s="96">
        <f t="shared" si="11"/>
        <v>1443.7981163218392</v>
      </c>
      <c r="P24" s="71">
        <v>9</v>
      </c>
      <c r="Q24" s="97">
        <f t="shared" si="12"/>
        <v>721.89905816091959</v>
      </c>
      <c r="R24" s="98"/>
    </row>
    <row r="25" spans="1:18" s="73" customFormat="1" ht="11.25" x14ac:dyDescent="0.2">
      <c r="A25" s="84">
        <v>1000</v>
      </c>
      <c r="B25" s="85">
        <v>20</v>
      </c>
      <c r="C25" s="86">
        <f t="shared" si="0"/>
        <v>102</v>
      </c>
      <c r="D25" s="87">
        <f t="shared" si="1"/>
        <v>12.75</v>
      </c>
      <c r="E25" s="88">
        <v>4</v>
      </c>
      <c r="F25" s="89">
        <f t="shared" si="2"/>
        <v>16.75</v>
      </c>
      <c r="G25" s="90">
        <f t="shared" si="3"/>
        <v>1.8611111111111112</v>
      </c>
      <c r="H25" s="91">
        <f t="shared" si="4"/>
        <v>2</v>
      </c>
      <c r="I25" s="92">
        <f t="shared" si="5"/>
        <v>1.5</v>
      </c>
      <c r="J25" s="93">
        <f t="shared" si="6"/>
        <v>735.82800000000009</v>
      </c>
      <c r="K25" s="95">
        <f t="shared" si="7"/>
        <v>180</v>
      </c>
      <c r="L25" s="94">
        <f t="shared" si="8"/>
        <v>300</v>
      </c>
      <c r="M25" s="95">
        <f t="shared" si="9"/>
        <v>1215.828</v>
      </c>
      <c r="N25" s="93">
        <f t="shared" si="10"/>
        <v>319.04005507389155</v>
      </c>
      <c r="O25" s="96">
        <f t="shared" si="11"/>
        <v>1534.8680550738916</v>
      </c>
      <c r="P25" s="71">
        <v>10</v>
      </c>
      <c r="Q25" s="97">
        <f t="shared" si="12"/>
        <v>767.43402753694579</v>
      </c>
      <c r="R25" s="98"/>
    </row>
    <row r="26" spans="1:18" s="73" customFormat="1" ht="11.25" x14ac:dyDescent="0.2">
      <c r="A26" s="84">
        <v>1100</v>
      </c>
      <c r="B26" s="85">
        <v>20</v>
      </c>
      <c r="C26" s="86">
        <f t="shared" si="0"/>
        <v>112</v>
      </c>
      <c r="D26" s="87">
        <f t="shared" si="1"/>
        <v>14</v>
      </c>
      <c r="E26" s="88">
        <v>4</v>
      </c>
      <c r="F26" s="89">
        <f t="shared" si="2"/>
        <v>18</v>
      </c>
      <c r="G26" s="90">
        <f t="shared" si="3"/>
        <v>2</v>
      </c>
      <c r="H26" s="91">
        <f t="shared" si="4"/>
        <v>2</v>
      </c>
      <c r="I26" s="92">
        <f t="shared" si="5"/>
        <v>1.5</v>
      </c>
      <c r="J26" s="93">
        <f t="shared" si="6"/>
        <v>807.96800000000007</v>
      </c>
      <c r="K26" s="95">
        <f t="shared" si="7"/>
        <v>180</v>
      </c>
      <c r="L26" s="94">
        <f t="shared" si="8"/>
        <v>300</v>
      </c>
      <c r="M26" s="95">
        <f t="shared" si="9"/>
        <v>1287.9680000000001</v>
      </c>
      <c r="N26" s="93">
        <f t="shared" si="10"/>
        <v>337.96999382594407</v>
      </c>
      <c r="O26" s="96">
        <f t="shared" si="11"/>
        <v>1625.9379938259442</v>
      </c>
      <c r="P26" s="71">
        <v>11</v>
      </c>
      <c r="Q26" s="97">
        <f t="shared" si="12"/>
        <v>812.9689969129721</v>
      </c>
      <c r="R26" s="98"/>
    </row>
    <row r="27" spans="1:18" s="73" customFormat="1" ht="11.25" x14ac:dyDescent="0.2">
      <c r="A27" s="84">
        <v>1200</v>
      </c>
      <c r="B27" s="85">
        <v>20</v>
      </c>
      <c r="C27" s="86">
        <f t="shared" si="0"/>
        <v>122</v>
      </c>
      <c r="D27" s="87">
        <f t="shared" si="1"/>
        <v>15.25</v>
      </c>
      <c r="E27" s="88">
        <v>4</v>
      </c>
      <c r="F27" s="89">
        <f t="shared" si="2"/>
        <v>19.25</v>
      </c>
      <c r="G27" s="90">
        <f t="shared" si="3"/>
        <v>2.1388888888888888</v>
      </c>
      <c r="H27" s="91">
        <f t="shared" si="4"/>
        <v>3</v>
      </c>
      <c r="I27" s="92">
        <f t="shared" si="5"/>
        <v>2.5</v>
      </c>
      <c r="J27" s="93">
        <f t="shared" si="6"/>
        <v>880.10800000000006</v>
      </c>
      <c r="K27" s="95">
        <f t="shared" si="7"/>
        <v>270</v>
      </c>
      <c r="L27" s="94">
        <f t="shared" si="8"/>
        <v>500</v>
      </c>
      <c r="M27" s="95">
        <f t="shared" si="9"/>
        <v>1650.1080000000002</v>
      </c>
      <c r="N27" s="93">
        <f t="shared" si="10"/>
        <v>432.9975516256157</v>
      </c>
      <c r="O27" s="96">
        <f t="shared" si="11"/>
        <v>2083.105551625616</v>
      </c>
      <c r="P27" s="71">
        <v>12</v>
      </c>
      <c r="Q27" s="97">
        <f t="shared" si="12"/>
        <v>694.36851720853872</v>
      </c>
      <c r="R27" s="98"/>
    </row>
    <row r="28" spans="1:18" s="73" customFormat="1" ht="11.25" x14ac:dyDescent="0.2">
      <c r="A28" s="84">
        <v>1300</v>
      </c>
      <c r="B28" s="85">
        <v>20</v>
      </c>
      <c r="C28" s="86">
        <f t="shared" si="0"/>
        <v>132</v>
      </c>
      <c r="D28" s="87">
        <f t="shared" si="1"/>
        <v>16.5</v>
      </c>
      <c r="E28" s="88">
        <v>4</v>
      </c>
      <c r="F28" s="89">
        <f t="shared" si="2"/>
        <v>20.5</v>
      </c>
      <c r="G28" s="90">
        <f t="shared" si="3"/>
        <v>2.2777777777777777</v>
      </c>
      <c r="H28" s="91">
        <f t="shared" si="4"/>
        <v>3</v>
      </c>
      <c r="I28" s="92">
        <f t="shared" si="5"/>
        <v>2.5</v>
      </c>
      <c r="J28" s="93">
        <f t="shared" si="6"/>
        <v>952.24800000000005</v>
      </c>
      <c r="K28" s="95">
        <f t="shared" si="7"/>
        <v>270</v>
      </c>
      <c r="L28" s="94">
        <f t="shared" si="8"/>
        <v>500</v>
      </c>
      <c r="M28" s="95">
        <f t="shared" si="9"/>
        <v>1722.248</v>
      </c>
      <c r="N28" s="93">
        <f t="shared" si="10"/>
        <v>451.92749037766822</v>
      </c>
      <c r="O28" s="96">
        <f t="shared" si="11"/>
        <v>2174.1754903776682</v>
      </c>
      <c r="P28" s="71">
        <v>13</v>
      </c>
      <c r="Q28" s="97">
        <f t="shared" si="12"/>
        <v>724.7251634592227</v>
      </c>
      <c r="R28" s="98"/>
    </row>
    <row r="29" spans="1:18" s="73" customFormat="1" ht="11.25" x14ac:dyDescent="0.2">
      <c r="A29" s="84">
        <v>1400</v>
      </c>
      <c r="B29" s="85">
        <v>20</v>
      </c>
      <c r="C29" s="86">
        <f t="shared" si="0"/>
        <v>142</v>
      </c>
      <c r="D29" s="87">
        <f t="shared" si="1"/>
        <v>17.75</v>
      </c>
      <c r="E29" s="88">
        <v>4</v>
      </c>
      <c r="F29" s="89">
        <f t="shared" si="2"/>
        <v>21.75</v>
      </c>
      <c r="G29" s="90">
        <f t="shared" si="3"/>
        <v>2.4166666666666665</v>
      </c>
      <c r="H29" s="91">
        <f t="shared" si="4"/>
        <v>3</v>
      </c>
      <c r="I29" s="92">
        <f t="shared" si="5"/>
        <v>2.5</v>
      </c>
      <c r="J29" s="93">
        <f t="shared" si="6"/>
        <v>1024.3880000000001</v>
      </c>
      <c r="K29" s="95">
        <f t="shared" si="7"/>
        <v>270</v>
      </c>
      <c r="L29" s="94">
        <f t="shared" si="8"/>
        <v>500</v>
      </c>
      <c r="M29" s="95">
        <f t="shared" si="9"/>
        <v>1794.3880000000001</v>
      </c>
      <c r="N29" s="93">
        <f t="shared" si="10"/>
        <v>470.85742912972074</v>
      </c>
      <c r="O29" s="96">
        <f t="shared" si="11"/>
        <v>2265.2454291297208</v>
      </c>
      <c r="P29" s="71">
        <v>14</v>
      </c>
      <c r="Q29" s="97">
        <f t="shared" si="12"/>
        <v>755.08180970990691</v>
      </c>
      <c r="R29" s="98"/>
    </row>
    <row r="30" spans="1:18" s="73" customFormat="1" ht="11.25" x14ac:dyDescent="0.2">
      <c r="A30" s="84">
        <v>1500</v>
      </c>
      <c r="B30" s="85">
        <v>20</v>
      </c>
      <c r="C30" s="86">
        <f t="shared" si="0"/>
        <v>152</v>
      </c>
      <c r="D30" s="87">
        <f t="shared" si="1"/>
        <v>19</v>
      </c>
      <c r="E30" s="88">
        <v>4</v>
      </c>
      <c r="F30" s="89">
        <f t="shared" si="2"/>
        <v>23</v>
      </c>
      <c r="G30" s="90">
        <f t="shared" si="3"/>
        <v>2.5555555555555554</v>
      </c>
      <c r="H30" s="91">
        <f t="shared" si="4"/>
        <v>3</v>
      </c>
      <c r="I30" s="92">
        <f t="shared" si="5"/>
        <v>2.5</v>
      </c>
      <c r="J30" s="93">
        <f t="shared" si="6"/>
        <v>1096.528</v>
      </c>
      <c r="K30" s="95">
        <f t="shared" si="7"/>
        <v>270</v>
      </c>
      <c r="L30" s="94">
        <f t="shared" si="8"/>
        <v>500</v>
      </c>
      <c r="M30" s="95">
        <f t="shared" si="9"/>
        <v>1866.528</v>
      </c>
      <c r="N30" s="93">
        <f t="shared" si="10"/>
        <v>489.78736788177326</v>
      </c>
      <c r="O30" s="96">
        <f t="shared" si="11"/>
        <v>2356.3153678817735</v>
      </c>
      <c r="P30" s="71">
        <v>15</v>
      </c>
      <c r="Q30" s="97">
        <f t="shared" si="12"/>
        <v>785.43845596059111</v>
      </c>
      <c r="R30" s="98"/>
    </row>
    <row r="31" spans="1:18" s="73" customFormat="1" ht="11.25" x14ac:dyDescent="0.2">
      <c r="A31" s="84">
        <v>1600</v>
      </c>
      <c r="B31" s="85">
        <v>20</v>
      </c>
      <c r="C31" s="86">
        <f t="shared" si="0"/>
        <v>162</v>
      </c>
      <c r="D31" s="87">
        <f t="shared" si="1"/>
        <v>20.25</v>
      </c>
      <c r="E31" s="88">
        <v>4</v>
      </c>
      <c r="F31" s="89">
        <f t="shared" si="2"/>
        <v>24.25</v>
      </c>
      <c r="G31" s="90">
        <f t="shared" si="3"/>
        <v>2.6944444444444446</v>
      </c>
      <c r="H31" s="91">
        <f t="shared" si="4"/>
        <v>3</v>
      </c>
      <c r="I31" s="92">
        <f t="shared" si="5"/>
        <v>2.5</v>
      </c>
      <c r="J31" s="93">
        <f t="shared" si="6"/>
        <v>1168.6680000000001</v>
      </c>
      <c r="K31" s="95">
        <f t="shared" si="7"/>
        <v>270</v>
      </c>
      <c r="L31" s="94">
        <f t="shared" si="8"/>
        <v>500</v>
      </c>
      <c r="M31" s="95">
        <f t="shared" si="9"/>
        <v>1938.6680000000001</v>
      </c>
      <c r="N31" s="93">
        <f t="shared" si="10"/>
        <v>508.71730663382584</v>
      </c>
      <c r="O31" s="96">
        <f t="shared" si="11"/>
        <v>2447.3853066338261</v>
      </c>
      <c r="P31" s="71">
        <v>16</v>
      </c>
      <c r="Q31" s="97">
        <f t="shared" si="12"/>
        <v>815.79510221127532</v>
      </c>
      <c r="R31" s="98"/>
    </row>
    <row r="32" spans="1:18" s="73" customFormat="1" ht="11.25" x14ac:dyDescent="0.2">
      <c r="A32" s="84">
        <v>1700</v>
      </c>
      <c r="B32" s="85">
        <v>20</v>
      </c>
      <c r="C32" s="86">
        <f t="shared" si="0"/>
        <v>172</v>
      </c>
      <c r="D32" s="87">
        <f t="shared" si="1"/>
        <v>21.5</v>
      </c>
      <c r="E32" s="88">
        <v>4</v>
      </c>
      <c r="F32" s="89">
        <f t="shared" si="2"/>
        <v>25.5</v>
      </c>
      <c r="G32" s="90">
        <f t="shared" si="3"/>
        <v>2.8333333333333335</v>
      </c>
      <c r="H32" s="91">
        <f t="shared" si="4"/>
        <v>3</v>
      </c>
      <c r="I32" s="92">
        <f t="shared" si="5"/>
        <v>2.5</v>
      </c>
      <c r="J32" s="93">
        <f t="shared" si="6"/>
        <v>1240.808</v>
      </c>
      <c r="K32" s="95">
        <f t="shared" si="7"/>
        <v>270</v>
      </c>
      <c r="L32" s="94">
        <f t="shared" si="8"/>
        <v>500</v>
      </c>
      <c r="M32" s="95">
        <f t="shared" si="9"/>
        <v>2010.808</v>
      </c>
      <c r="N32" s="93">
        <f t="shared" si="10"/>
        <v>527.64724538587836</v>
      </c>
      <c r="O32" s="96">
        <f t="shared" si="11"/>
        <v>2538.4552453858782</v>
      </c>
      <c r="P32" s="71">
        <v>17</v>
      </c>
      <c r="Q32" s="97">
        <f t="shared" si="12"/>
        <v>846.15174846195941</v>
      </c>
      <c r="R32" s="98"/>
    </row>
    <row r="33" spans="1:18" s="73" customFormat="1" ht="11.25" x14ac:dyDescent="0.2">
      <c r="A33" s="84">
        <v>1800</v>
      </c>
      <c r="B33" s="85">
        <v>20</v>
      </c>
      <c r="C33" s="86">
        <f t="shared" si="0"/>
        <v>182</v>
      </c>
      <c r="D33" s="87">
        <f t="shared" si="1"/>
        <v>22.75</v>
      </c>
      <c r="E33" s="88">
        <v>4</v>
      </c>
      <c r="F33" s="89">
        <f t="shared" si="2"/>
        <v>26.75</v>
      </c>
      <c r="G33" s="90">
        <f t="shared" si="3"/>
        <v>2.9722222222222223</v>
      </c>
      <c r="H33" s="91">
        <f t="shared" si="4"/>
        <v>3</v>
      </c>
      <c r="I33" s="92">
        <f t="shared" si="5"/>
        <v>2.5</v>
      </c>
      <c r="J33" s="93">
        <f t="shared" si="6"/>
        <v>1312.9480000000001</v>
      </c>
      <c r="K33" s="95">
        <f t="shared" si="7"/>
        <v>270</v>
      </c>
      <c r="L33" s="94">
        <f t="shared" si="8"/>
        <v>500</v>
      </c>
      <c r="M33" s="95">
        <f t="shared" si="9"/>
        <v>2082.9480000000003</v>
      </c>
      <c r="N33" s="93">
        <f t="shared" si="10"/>
        <v>546.577184137931</v>
      </c>
      <c r="O33" s="96">
        <f t="shared" si="11"/>
        <v>2629.5251841379313</v>
      </c>
      <c r="P33" s="71">
        <v>18</v>
      </c>
      <c r="Q33" s="97">
        <f t="shared" si="12"/>
        <v>876.50839471264374</v>
      </c>
      <c r="R33" s="98"/>
    </row>
    <row r="34" spans="1:18" s="73" customFormat="1" ht="11.25" x14ac:dyDescent="0.2">
      <c r="A34" s="84">
        <v>1900</v>
      </c>
      <c r="B34" s="85">
        <v>20</v>
      </c>
      <c r="C34" s="86">
        <f t="shared" si="0"/>
        <v>192</v>
      </c>
      <c r="D34" s="87">
        <f t="shared" si="1"/>
        <v>24</v>
      </c>
      <c r="E34" s="88">
        <v>4</v>
      </c>
      <c r="F34" s="89">
        <f t="shared" si="2"/>
        <v>28</v>
      </c>
      <c r="G34" s="90">
        <f t="shared" si="3"/>
        <v>3.1111111111111112</v>
      </c>
      <c r="H34" s="91">
        <f t="shared" si="4"/>
        <v>4</v>
      </c>
      <c r="I34" s="92">
        <f t="shared" si="5"/>
        <v>3.5</v>
      </c>
      <c r="J34" s="93">
        <f t="shared" si="6"/>
        <v>1385.0880000000002</v>
      </c>
      <c r="K34" s="95">
        <f t="shared" si="7"/>
        <v>360</v>
      </c>
      <c r="L34" s="94">
        <f t="shared" si="8"/>
        <v>700</v>
      </c>
      <c r="M34" s="95">
        <f t="shared" si="9"/>
        <v>2445.0880000000002</v>
      </c>
      <c r="N34" s="93">
        <f t="shared" si="10"/>
        <v>641.60474193760251</v>
      </c>
      <c r="O34" s="96">
        <f t="shared" si="11"/>
        <v>3086.6927419376025</v>
      </c>
      <c r="P34" s="71">
        <v>19</v>
      </c>
      <c r="Q34" s="97">
        <f t="shared" si="12"/>
        <v>771.67318548440062</v>
      </c>
      <c r="R34" s="98"/>
    </row>
    <row r="35" spans="1:18" s="73" customFormat="1" ht="11.25" x14ac:dyDescent="0.2">
      <c r="A35" s="84">
        <v>2000</v>
      </c>
      <c r="B35" s="85">
        <v>20</v>
      </c>
      <c r="C35" s="86">
        <f t="shared" si="0"/>
        <v>202</v>
      </c>
      <c r="D35" s="87">
        <f t="shared" si="1"/>
        <v>25.25</v>
      </c>
      <c r="E35" s="88">
        <v>4</v>
      </c>
      <c r="F35" s="89">
        <f t="shared" si="2"/>
        <v>29.25</v>
      </c>
      <c r="G35" s="90">
        <f t="shared" si="3"/>
        <v>3.25</v>
      </c>
      <c r="H35" s="91">
        <f t="shared" si="4"/>
        <v>4</v>
      </c>
      <c r="I35" s="92">
        <f t="shared" si="5"/>
        <v>3.5</v>
      </c>
      <c r="J35" s="93">
        <f t="shared" si="6"/>
        <v>1457.2280000000001</v>
      </c>
      <c r="K35" s="95">
        <f t="shared" si="7"/>
        <v>360</v>
      </c>
      <c r="L35" s="94">
        <f t="shared" si="8"/>
        <v>700</v>
      </c>
      <c r="M35" s="95">
        <f t="shared" si="9"/>
        <v>2517.2280000000001</v>
      </c>
      <c r="N35" s="93">
        <f t="shared" si="10"/>
        <v>660.53468068965503</v>
      </c>
      <c r="O35" s="96">
        <f t="shared" si="11"/>
        <v>3177.7626806896551</v>
      </c>
      <c r="P35" s="71">
        <v>20</v>
      </c>
      <c r="Q35" s="97">
        <f t="shared" si="12"/>
        <v>794.44067017241377</v>
      </c>
      <c r="R35" s="98"/>
    </row>
    <row r="36" spans="1:18" s="73" customFormat="1" ht="11.25" x14ac:dyDescent="0.2">
      <c r="A36" s="84">
        <v>2100</v>
      </c>
      <c r="B36" s="85">
        <v>20</v>
      </c>
      <c r="C36" s="86">
        <f t="shared" si="0"/>
        <v>212</v>
      </c>
      <c r="D36" s="87">
        <f t="shared" si="1"/>
        <v>26.5</v>
      </c>
      <c r="E36" s="88">
        <v>4</v>
      </c>
      <c r="F36" s="89">
        <f t="shared" si="2"/>
        <v>30.5</v>
      </c>
      <c r="G36" s="90">
        <f t="shared" si="3"/>
        <v>3.3888888888888888</v>
      </c>
      <c r="H36" s="91">
        <f t="shared" si="4"/>
        <v>4</v>
      </c>
      <c r="I36" s="92">
        <f t="shared" si="5"/>
        <v>3.5</v>
      </c>
      <c r="J36" s="93">
        <f t="shared" si="6"/>
        <v>1529.3680000000002</v>
      </c>
      <c r="K36" s="95">
        <f t="shared" si="7"/>
        <v>360</v>
      </c>
      <c r="L36" s="94">
        <f t="shared" si="8"/>
        <v>700</v>
      </c>
      <c r="M36" s="95">
        <f t="shared" si="9"/>
        <v>2589.3680000000004</v>
      </c>
      <c r="N36" s="93">
        <f t="shared" si="10"/>
        <v>679.46461944170767</v>
      </c>
      <c r="O36" s="96">
        <f t="shared" si="11"/>
        <v>3268.8326194417082</v>
      </c>
      <c r="P36" s="71">
        <v>21</v>
      </c>
      <c r="Q36" s="97">
        <f t="shared" si="12"/>
        <v>817.20815486042704</v>
      </c>
      <c r="R36" s="98"/>
    </row>
    <row r="37" spans="1:18" s="73" customFormat="1" ht="11.25" x14ac:dyDescent="0.2">
      <c r="A37" s="100">
        <v>2200</v>
      </c>
      <c r="B37" s="101">
        <v>20</v>
      </c>
      <c r="C37" s="102">
        <f t="shared" si="0"/>
        <v>222</v>
      </c>
      <c r="D37" s="103">
        <f t="shared" si="1"/>
        <v>27.75</v>
      </c>
      <c r="E37" s="88">
        <v>4</v>
      </c>
      <c r="F37" s="104">
        <f t="shared" si="2"/>
        <v>31.75</v>
      </c>
      <c r="G37" s="105">
        <f t="shared" si="3"/>
        <v>3.5277777777777777</v>
      </c>
      <c r="H37" s="106">
        <f t="shared" si="4"/>
        <v>4</v>
      </c>
      <c r="I37" s="107">
        <f t="shared" si="5"/>
        <v>3.5</v>
      </c>
      <c r="J37" s="108">
        <f t="shared" si="6"/>
        <v>1601.508</v>
      </c>
      <c r="K37" s="109">
        <f t="shared" si="7"/>
        <v>360</v>
      </c>
      <c r="L37" s="110">
        <f t="shared" si="8"/>
        <v>700</v>
      </c>
      <c r="M37" s="109">
        <f t="shared" si="9"/>
        <v>2661.5079999999998</v>
      </c>
      <c r="N37" s="93">
        <f t="shared" si="10"/>
        <v>698.39455819376008</v>
      </c>
      <c r="O37" s="111">
        <f t="shared" si="11"/>
        <v>3359.9025581937599</v>
      </c>
      <c r="P37" s="71">
        <v>22</v>
      </c>
      <c r="Q37" s="97">
        <f t="shared" si="12"/>
        <v>839.97563954843997</v>
      </c>
      <c r="R37" s="98"/>
    </row>
    <row r="38" spans="1:18" s="112" customFormat="1" ht="11.25" x14ac:dyDescent="0.2">
      <c r="D38" s="113"/>
      <c r="E38" s="114"/>
      <c r="F38" s="115"/>
      <c r="G38" s="116"/>
      <c r="H38" s="116"/>
      <c r="I38" s="116"/>
      <c r="J38" s="116"/>
      <c r="N38" s="73"/>
      <c r="O38" s="117"/>
      <c r="P38" s="118"/>
      <c r="Q38" s="119">
        <f>SUM(Q16:Q37)</f>
        <v>15270.77245259442</v>
      </c>
    </row>
    <row r="39" spans="1:18" x14ac:dyDescent="0.2">
      <c r="O39" s="120"/>
      <c r="Q39" s="119">
        <f>Q38/22</f>
        <v>694.12602057247364</v>
      </c>
    </row>
    <row r="44" spans="1:18" s="41" customFormat="1" ht="11.25" x14ac:dyDescent="0.2"/>
    <row r="45" spans="1:18" s="41" customFormat="1" ht="11.25" x14ac:dyDescent="0.2"/>
    <row r="46" spans="1:18" s="41" customFormat="1" ht="11.25" x14ac:dyDescent="0.2"/>
    <row r="47" spans="1:18" s="41" customFormat="1" ht="11.25" x14ac:dyDescent="0.2"/>
    <row r="48" spans="1:18" s="41" customFormat="1" ht="11.25" x14ac:dyDescent="0.2"/>
    <row r="49" s="41" customFormat="1" ht="11.25" x14ac:dyDescent="0.2"/>
    <row r="51" s="41" customFormat="1" ht="11.25" x14ac:dyDescent="0.2"/>
  </sheetData>
  <mergeCells count="10">
    <mergeCell ref="A7:E7"/>
    <mergeCell ref="A8:E8"/>
    <mergeCell ref="A9:E9"/>
    <mergeCell ref="A10:E10"/>
    <mergeCell ref="A11:E11"/>
    <mergeCell ref="A1:O1"/>
    <mergeCell ref="A2:O2"/>
    <mergeCell ref="A4:F4"/>
    <mergeCell ref="A5:E5"/>
    <mergeCell ref="A6:E6"/>
  </mergeCells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0"/>
  <sheetViews>
    <sheetView topLeftCell="A4" zoomScaleNormal="100" workbookViewId="0">
      <selection activeCell="F8" sqref="F8"/>
    </sheetView>
  </sheetViews>
  <sheetFormatPr defaultColWidth="9.33203125" defaultRowHeight="12.75" x14ac:dyDescent="0.2"/>
  <cols>
    <col min="1" max="1" width="18.33203125" style="41" customWidth="1"/>
    <col min="2" max="2" width="10.83203125" style="41" customWidth="1"/>
    <col min="3" max="3" width="11.1640625" style="41" customWidth="1"/>
    <col min="4" max="4" width="10.1640625" style="42" customWidth="1"/>
    <col min="5" max="5" width="10.33203125" style="43" customWidth="1"/>
    <col min="6" max="6" width="11.83203125" style="44" customWidth="1"/>
    <col min="7" max="7" width="12" style="45" customWidth="1"/>
    <col min="8" max="8" width="10.33203125" style="45" customWidth="1"/>
    <col min="9" max="9" width="11.33203125" style="45" customWidth="1"/>
    <col min="10" max="10" width="11.5" style="45" customWidth="1"/>
    <col min="11" max="11" width="10.5" style="41" customWidth="1"/>
    <col min="12" max="12" width="10.83203125" style="41" customWidth="1"/>
    <col min="13" max="13" width="12.33203125" style="41" customWidth="1"/>
    <col min="14" max="14" width="10.83203125" style="46" customWidth="1"/>
    <col min="15" max="15" width="14.1640625" style="47" customWidth="1"/>
    <col min="16" max="16" width="6.1640625" style="48" customWidth="1"/>
    <col min="17" max="17" width="21.5" style="49" customWidth="1"/>
    <col min="18" max="1024" width="9.33203125" style="41"/>
  </cols>
  <sheetData>
    <row r="1" spans="1:17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51"/>
    </row>
    <row r="2" spans="1:17" x14ac:dyDescent="0.2">
      <c r="A2" s="224" t="s">
        <v>157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51"/>
    </row>
    <row r="3" spans="1:17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7" s="54" customFormat="1" ht="11.25" x14ac:dyDescent="0.2">
      <c r="A4" s="225" t="s">
        <v>126</v>
      </c>
      <c r="B4" s="225"/>
      <c r="C4" s="225"/>
      <c r="D4" s="225"/>
      <c r="E4" s="225"/>
      <c r="F4" s="225"/>
      <c r="G4" s="53"/>
      <c r="H4" s="53"/>
      <c r="I4" s="53"/>
      <c r="J4" s="53"/>
      <c r="N4" s="46"/>
      <c r="O4" s="46"/>
      <c r="P4" s="55"/>
      <c r="Q4" s="56"/>
    </row>
    <row r="5" spans="1:17" x14ac:dyDescent="0.2">
      <c r="A5" s="226" t="s">
        <v>127</v>
      </c>
      <c r="B5" s="226"/>
      <c r="C5" s="226"/>
      <c r="D5" s="226"/>
      <c r="E5" s="226"/>
      <c r="F5" s="57">
        <v>80</v>
      </c>
    </row>
    <row r="6" spans="1:17" x14ac:dyDescent="0.2">
      <c r="A6" s="226" t="s">
        <v>128</v>
      </c>
      <c r="B6" s="226"/>
      <c r="C6" s="226"/>
      <c r="D6" s="226"/>
      <c r="E6" s="226"/>
      <c r="F6" s="57">
        <v>4</v>
      </c>
    </row>
    <row r="7" spans="1:17" x14ac:dyDescent="0.2">
      <c r="A7" s="226" t="s">
        <v>129</v>
      </c>
      <c r="B7" s="226"/>
      <c r="C7" s="226"/>
      <c r="D7" s="226"/>
      <c r="E7" s="226"/>
      <c r="F7" s="57">
        <f>'Valor médio de diárias de carro'!B14</f>
        <v>90</v>
      </c>
    </row>
    <row r="8" spans="1:17" x14ac:dyDescent="0.2">
      <c r="A8" s="226" t="s">
        <v>130</v>
      </c>
      <c r="B8" s="226"/>
      <c r="C8" s="226"/>
      <c r="D8" s="226"/>
      <c r="E8" s="226"/>
      <c r="F8" s="58" t="s">
        <v>131</v>
      </c>
    </row>
    <row r="9" spans="1:17" x14ac:dyDescent="0.2">
      <c r="A9" s="226" t="s">
        <v>132</v>
      </c>
      <c r="B9" s="226"/>
      <c r="C9" s="226"/>
      <c r="D9" s="226"/>
      <c r="E9" s="226"/>
      <c r="F9" s="59">
        <f>'Valor médio gasolina comum'!C24</f>
        <v>7.2140000000000004</v>
      </c>
    </row>
    <row r="10" spans="1:17" x14ac:dyDescent="0.2">
      <c r="A10" s="226" t="s">
        <v>133</v>
      </c>
      <c r="B10" s="226"/>
      <c r="C10" s="226"/>
      <c r="D10" s="226"/>
      <c r="E10" s="226"/>
      <c r="F10" s="57">
        <v>10</v>
      </c>
    </row>
    <row r="11" spans="1:17" x14ac:dyDescent="0.2">
      <c r="A11" s="226" t="s">
        <v>134</v>
      </c>
      <c r="B11" s="226"/>
      <c r="C11" s="226"/>
      <c r="D11" s="226"/>
      <c r="E11" s="226"/>
      <c r="F11" s="60">
        <f>'Valor diarias de hotel e alimen'!C13</f>
        <v>200</v>
      </c>
    </row>
    <row r="13" spans="1:17" x14ac:dyDescent="0.2">
      <c r="A13" s="62"/>
      <c r="B13" s="62"/>
      <c r="C13" s="62"/>
    </row>
    <row r="14" spans="1:17" x14ac:dyDescent="0.2">
      <c r="A14" s="62"/>
      <c r="B14" s="62"/>
      <c r="C14" s="62"/>
    </row>
    <row r="15" spans="1:17" s="73" customFormat="1" ht="90" x14ac:dyDescent="0.2">
      <c r="A15" s="63" t="s">
        <v>135</v>
      </c>
      <c r="B15" s="121" t="s">
        <v>158</v>
      </c>
      <c r="C15" s="64" t="s">
        <v>137</v>
      </c>
      <c r="D15" s="65" t="s">
        <v>138</v>
      </c>
      <c r="E15" s="122" t="s">
        <v>159</v>
      </c>
      <c r="F15" s="67" t="s">
        <v>140</v>
      </c>
      <c r="G15" s="68" t="s">
        <v>141</v>
      </c>
      <c r="H15" s="68" t="s">
        <v>142</v>
      </c>
      <c r="I15" s="68" t="s">
        <v>143</v>
      </c>
      <c r="J15" s="64" t="s">
        <v>144</v>
      </c>
      <c r="K15" s="64" t="s">
        <v>145</v>
      </c>
      <c r="L15" s="64" t="s">
        <v>146</v>
      </c>
      <c r="M15" s="64" t="s">
        <v>147</v>
      </c>
      <c r="N15" s="69" t="s">
        <v>148</v>
      </c>
      <c r="O15" s="70" t="s">
        <v>149</v>
      </c>
      <c r="P15" s="71"/>
      <c r="Q15" s="72" t="s">
        <v>150</v>
      </c>
    </row>
    <row r="16" spans="1:17" s="83" customFormat="1" ht="11.25" x14ac:dyDescent="0.2">
      <c r="A16" s="74" t="s">
        <v>151</v>
      </c>
      <c r="B16" s="75" t="s">
        <v>151</v>
      </c>
      <c r="C16" s="75" t="s">
        <v>152</v>
      </c>
      <c r="D16" s="76" t="s">
        <v>153</v>
      </c>
      <c r="E16" s="77" t="s">
        <v>153</v>
      </c>
      <c r="F16" s="78" t="s">
        <v>153</v>
      </c>
      <c r="G16" s="76" t="s">
        <v>154</v>
      </c>
      <c r="H16" s="76" t="s">
        <v>155</v>
      </c>
      <c r="I16" s="75" t="s">
        <v>155</v>
      </c>
      <c r="J16" s="75" t="s">
        <v>156</v>
      </c>
      <c r="K16" s="75" t="s">
        <v>156</v>
      </c>
      <c r="L16" s="75" t="s">
        <v>156</v>
      </c>
      <c r="M16" s="75" t="s">
        <v>156</v>
      </c>
      <c r="N16" s="79">
        <f>arqeng!C127</f>
        <v>0.26240558292282423</v>
      </c>
      <c r="O16" s="80" t="s">
        <v>156</v>
      </c>
      <c r="P16" s="81"/>
      <c r="Q16" s="82"/>
    </row>
    <row r="17" spans="1:18" s="83" customFormat="1" ht="11.25" x14ac:dyDescent="0.2">
      <c r="A17" s="84">
        <v>100</v>
      </c>
      <c r="B17" s="85">
        <v>40</v>
      </c>
      <c r="C17" s="86">
        <f t="shared" ref="C17:C46" si="0">((A17+B17)/10)</f>
        <v>14</v>
      </c>
      <c r="D17" s="87">
        <f t="shared" ref="D17:D46" si="1">((A17+B17)/80)</f>
        <v>1.75</v>
      </c>
      <c r="E17" s="88">
        <v>8</v>
      </c>
      <c r="F17" s="89">
        <f t="shared" ref="F17:F46" si="2">D17+E17</f>
        <v>9.75</v>
      </c>
      <c r="G17" s="90">
        <f t="shared" ref="G17:G46" si="3">F17/9</f>
        <v>1.0833333333333333</v>
      </c>
      <c r="H17" s="123">
        <f t="shared" ref="H17:H46" si="4">ROUNDUP(G17,0)</f>
        <v>2</v>
      </c>
      <c r="I17" s="92">
        <f t="shared" ref="I17:I46" si="5">H17-0.5</f>
        <v>1.5</v>
      </c>
      <c r="J17" s="93">
        <f t="shared" ref="J17:J46" si="6">C17*$F$9</f>
        <v>100.99600000000001</v>
      </c>
      <c r="K17" s="94">
        <f t="shared" ref="K17:K46" si="7">H17*$F$7</f>
        <v>180</v>
      </c>
      <c r="L17" s="94">
        <f t="shared" ref="L17:L46" si="8">(I17*$F$11)*1</f>
        <v>300</v>
      </c>
      <c r="M17" s="95">
        <f t="shared" ref="M17:M46" si="9">J17+K17+L17</f>
        <v>580.99599999999998</v>
      </c>
      <c r="N17" s="93">
        <f t="shared" ref="N17:N46" si="10">M17*$N$16</f>
        <v>152.45659405582919</v>
      </c>
      <c r="O17" s="96">
        <f t="shared" ref="O17:O46" si="11">M17+N17</f>
        <v>733.45259405582919</v>
      </c>
      <c r="P17" s="71">
        <v>1</v>
      </c>
      <c r="Q17" s="97">
        <f t="shared" ref="Q17:Q46" si="12">O17/H17</f>
        <v>366.7262970279146</v>
      </c>
      <c r="R17" s="98"/>
    </row>
    <row r="18" spans="1:18" s="83" customFormat="1" ht="11.25" x14ac:dyDescent="0.2">
      <c r="A18" s="84">
        <v>200</v>
      </c>
      <c r="B18" s="85">
        <v>40</v>
      </c>
      <c r="C18" s="86">
        <f t="shared" si="0"/>
        <v>24</v>
      </c>
      <c r="D18" s="87">
        <f t="shared" si="1"/>
        <v>3</v>
      </c>
      <c r="E18" s="88">
        <v>8</v>
      </c>
      <c r="F18" s="89">
        <f t="shared" si="2"/>
        <v>11</v>
      </c>
      <c r="G18" s="90">
        <f t="shared" si="3"/>
        <v>1.2222222222222223</v>
      </c>
      <c r="H18" s="123">
        <f t="shared" si="4"/>
        <v>2</v>
      </c>
      <c r="I18" s="92">
        <f t="shared" si="5"/>
        <v>1.5</v>
      </c>
      <c r="J18" s="93">
        <f t="shared" si="6"/>
        <v>173.13600000000002</v>
      </c>
      <c r="K18" s="94">
        <f t="shared" si="7"/>
        <v>180</v>
      </c>
      <c r="L18" s="94">
        <f t="shared" si="8"/>
        <v>300</v>
      </c>
      <c r="M18" s="95">
        <f t="shared" si="9"/>
        <v>653.13599999999997</v>
      </c>
      <c r="N18" s="93">
        <f t="shared" si="10"/>
        <v>171.38653280788171</v>
      </c>
      <c r="O18" s="96">
        <f t="shared" si="11"/>
        <v>824.5225328078817</v>
      </c>
      <c r="P18" s="71">
        <v>2</v>
      </c>
      <c r="Q18" s="97">
        <f t="shared" si="12"/>
        <v>412.26126640394085</v>
      </c>
      <c r="R18" s="98"/>
    </row>
    <row r="19" spans="1:18" s="73" customFormat="1" ht="11.25" x14ac:dyDescent="0.2">
      <c r="A19" s="84">
        <v>300</v>
      </c>
      <c r="B19" s="85">
        <v>40</v>
      </c>
      <c r="C19" s="86">
        <f t="shared" si="0"/>
        <v>34</v>
      </c>
      <c r="D19" s="87">
        <f t="shared" si="1"/>
        <v>4.25</v>
      </c>
      <c r="E19" s="88">
        <v>8</v>
      </c>
      <c r="F19" s="89">
        <f t="shared" si="2"/>
        <v>12.25</v>
      </c>
      <c r="G19" s="90">
        <f t="shared" si="3"/>
        <v>1.3611111111111112</v>
      </c>
      <c r="H19" s="123">
        <f t="shared" si="4"/>
        <v>2</v>
      </c>
      <c r="I19" s="92">
        <f t="shared" si="5"/>
        <v>1.5</v>
      </c>
      <c r="J19" s="93">
        <f t="shared" si="6"/>
        <v>245.27600000000001</v>
      </c>
      <c r="K19" s="95">
        <f t="shared" si="7"/>
        <v>180</v>
      </c>
      <c r="L19" s="94">
        <f t="shared" si="8"/>
        <v>300</v>
      </c>
      <c r="M19" s="95">
        <f t="shared" si="9"/>
        <v>725.27600000000007</v>
      </c>
      <c r="N19" s="93">
        <f t="shared" si="10"/>
        <v>190.31647155993429</v>
      </c>
      <c r="O19" s="96">
        <f t="shared" si="11"/>
        <v>915.59247155993432</v>
      </c>
      <c r="P19" s="71">
        <v>3</v>
      </c>
      <c r="Q19" s="97">
        <f t="shared" si="12"/>
        <v>457.79623577996716</v>
      </c>
      <c r="R19" s="99"/>
    </row>
    <row r="20" spans="1:18" s="73" customFormat="1" ht="11.25" x14ac:dyDescent="0.2">
      <c r="A20" s="84">
        <v>400</v>
      </c>
      <c r="B20" s="85">
        <v>40</v>
      </c>
      <c r="C20" s="86">
        <f t="shared" si="0"/>
        <v>44</v>
      </c>
      <c r="D20" s="87">
        <f t="shared" si="1"/>
        <v>5.5</v>
      </c>
      <c r="E20" s="88">
        <v>8</v>
      </c>
      <c r="F20" s="89">
        <f t="shared" si="2"/>
        <v>13.5</v>
      </c>
      <c r="G20" s="90">
        <f t="shared" si="3"/>
        <v>1.5</v>
      </c>
      <c r="H20" s="123">
        <f t="shared" si="4"/>
        <v>2</v>
      </c>
      <c r="I20" s="92">
        <f t="shared" si="5"/>
        <v>1.5</v>
      </c>
      <c r="J20" s="93">
        <f t="shared" si="6"/>
        <v>317.416</v>
      </c>
      <c r="K20" s="95">
        <f t="shared" si="7"/>
        <v>180</v>
      </c>
      <c r="L20" s="94">
        <f t="shared" si="8"/>
        <v>300</v>
      </c>
      <c r="M20" s="95">
        <f t="shared" si="9"/>
        <v>797.41599999999994</v>
      </c>
      <c r="N20" s="93">
        <f t="shared" si="10"/>
        <v>209.24641031198678</v>
      </c>
      <c r="O20" s="96">
        <f t="shared" si="11"/>
        <v>1006.6624103119867</v>
      </c>
      <c r="P20" s="71">
        <v>4</v>
      </c>
      <c r="Q20" s="97">
        <f t="shared" si="12"/>
        <v>503.33120515599336</v>
      </c>
      <c r="R20" s="98"/>
    </row>
    <row r="21" spans="1:18" s="73" customFormat="1" ht="11.25" x14ac:dyDescent="0.2">
      <c r="A21" s="84">
        <v>500</v>
      </c>
      <c r="B21" s="85">
        <v>40</v>
      </c>
      <c r="C21" s="86">
        <f t="shared" si="0"/>
        <v>54</v>
      </c>
      <c r="D21" s="87">
        <f t="shared" si="1"/>
        <v>6.75</v>
      </c>
      <c r="E21" s="88">
        <v>8</v>
      </c>
      <c r="F21" s="89">
        <f t="shared" si="2"/>
        <v>14.75</v>
      </c>
      <c r="G21" s="90">
        <f t="shared" si="3"/>
        <v>1.6388888888888888</v>
      </c>
      <c r="H21" s="123">
        <f t="shared" si="4"/>
        <v>2</v>
      </c>
      <c r="I21" s="92">
        <f t="shared" si="5"/>
        <v>1.5</v>
      </c>
      <c r="J21" s="93">
        <f t="shared" si="6"/>
        <v>389.55600000000004</v>
      </c>
      <c r="K21" s="95">
        <f t="shared" si="7"/>
        <v>180</v>
      </c>
      <c r="L21" s="94">
        <f t="shared" si="8"/>
        <v>300</v>
      </c>
      <c r="M21" s="95">
        <f t="shared" si="9"/>
        <v>869.55600000000004</v>
      </c>
      <c r="N21" s="93">
        <f t="shared" si="10"/>
        <v>228.17634906403936</v>
      </c>
      <c r="O21" s="96">
        <f t="shared" si="11"/>
        <v>1097.7323490640395</v>
      </c>
      <c r="P21" s="71">
        <v>5</v>
      </c>
      <c r="Q21" s="97">
        <f t="shared" si="12"/>
        <v>548.86617453201973</v>
      </c>
      <c r="R21" s="98"/>
    </row>
    <row r="22" spans="1:18" s="73" customFormat="1" ht="11.25" x14ac:dyDescent="0.2">
      <c r="A22" s="84">
        <v>600</v>
      </c>
      <c r="B22" s="85">
        <v>40</v>
      </c>
      <c r="C22" s="86">
        <f t="shared" si="0"/>
        <v>64</v>
      </c>
      <c r="D22" s="87">
        <f t="shared" si="1"/>
        <v>8</v>
      </c>
      <c r="E22" s="88">
        <v>8</v>
      </c>
      <c r="F22" s="89">
        <f t="shared" si="2"/>
        <v>16</v>
      </c>
      <c r="G22" s="90">
        <f t="shared" si="3"/>
        <v>1.7777777777777777</v>
      </c>
      <c r="H22" s="123">
        <f t="shared" si="4"/>
        <v>2</v>
      </c>
      <c r="I22" s="92">
        <f t="shared" si="5"/>
        <v>1.5</v>
      </c>
      <c r="J22" s="93">
        <f t="shared" si="6"/>
        <v>461.69600000000003</v>
      </c>
      <c r="K22" s="95">
        <f t="shared" si="7"/>
        <v>180</v>
      </c>
      <c r="L22" s="94">
        <f t="shared" si="8"/>
        <v>300</v>
      </c>
      <c r="M22" s="95">
        <f t="shared" si="9"/>
        <v>941.69600000000003</v>
      </c>
      <c r="N22" s="93">
        <f t="shared" si="10"/>
        <v>247.10628781609191</v>
      </c>
      <c r="O22" s="96">
        <f t="shared" si="11"/>
        <v>1188.8022878160918</v>
      </c>
      <c r="P22" s="71">
        <v>6</v>
      </c>
      <c r="Q22" s="97">
        <f t="shared" si="12"/>
        <v>594.40114390804592</v>
      </c>
      <c r="R22" s="98"/>
    </row>
    <row r="23" spans="1:18" s="73" customFormat="1" ht="11.25" x14ac:dyDescent="0.2">
      <c r="A23" s="84">
        <v>700</v>
      </c>
      <c r="B23" s="85">
        <v>40</v>
      </c>
      <c r="C23" s="86">
        <f t="shared" si="0"/>
        <v>74</v>
      </c>
      <c r="D23" s="87">
        <f t="shared" si="1"/>
        <v>9.25</v>
      </c>
      <c r="E23" s="88">
        <v>8</v>
      </c>
      <c r="F23" s="89">
        <f t="shared" si="2"/>
        <v>17.25</v>
      </c>
      <c r="G23" s="90">
        <f t="shared" si="3"/>
        <v>1.9166666666666667</v>
      </c>
      <c r="H23" s="123">
        <f t="shared" si="4"/>
        <v>2</v>
      </c>
      <c r="I23" s="92">
        <f t="shared" si="5"/>
        <v>1.5</v>
      </c>
      <c r="J23" s="93">
        <f t="shared" si="6"/>
        <v>533.83600000000001</v>
      </c>
      <c r="K23" s="95">
        <f t="shared" si="7"/>
        <v>180</v>
      </c>
      <c r="L23" s="94">
        <f t="shared" si="8"/>
        <v>300</v>
      </c>
      <c r="M23" s="95">
        <f t="shared" si="9"/>
        <v>1013.836</v>
      </c>
      <c r="N23" s="93">
        <f t="shared" si="10"/>
        <v>266.03622656814446</v>
      </c>
      <c r="O23" s="96">
        <f t="shared" si="11"/>
        <v>1279.8722265681445</v>
      </c>
      <c r="P23" s="71">
        <v>7</v>
      </c>
      <c r="Q23" s="97">
        <f t="shared" si="12"/>
        <v>639.93611328407223</v>
      </c>
      <c r="R23" s="98"/>
    </row>
    <row r="24" spans="1:18" s="73" customFormat="1" ht="11.25" x14ac:dyDescent="0.2">
      <c r="A24" s="84">
        <v>800</v>
      </c>
      <c r="B24" s="85">
        <v>40</v>
      </c>
      <c r="C24" s="86">
        <f t="shared" si="0"/>
        <v>84</v>
      </c>
      <c r="D24" s="87">
        <f t="shared" si="1"/>
        <v>10.5</v>
      </c>
      <c r="E24" s="88">
        <v>8</v>
      </c>
      <c r="F24" s="89">
        <f t="shared" si="2"/>
        <v>18.5</v>
      </c>
      <c r="G24" s="90">
        <f t="shared" si="3"/>
        <v>2.0555555555555554</v>
      </c>
      <c r="H24" s="123">
        <f t="shared" si="4"/>
        <v>3</v>
      </c>
      <c r="I24" s="92">
        <f t="shared" si="5"/>
        <v>2.5</v>
      </c>
      <c r="J24" s="93">
        <f t="shared" si="6"/>
        <v>605.976</v>
      </c>
      <c r="K24" s="95">
        <f t="shared" si="7"/>
        <v>270</v>
      </c>
      <c r="L24" s="94">
        <f t="shared" si="8"/>
        <v>500</v>
      </c>
      <c r="M24" s="95">
        <f t="shared" si="9"/>
        <v>1375.9760000000001</v>
      </c>
      <c r="N24" s="93">
        <f t="shared" si="10"/>
        <v>361.06378436781603</v>
      </c>
      <c r="O24" s="96">
        <f t="shared" si="11"/>
        <v>1737.0397843678161</v>
      </c>
      <c r="P24" s="71">
        <v>8</v>
      </c>
      <c r="Q24" s="97">
        <f t="shared" si="12"/>
        <v>579.01326145593873</v>
      </c>
      <c r="R24" s="98"/>
    </row>
    <row r="25" spans="1:18" s="73" customFormat="1" ht="11.25" x14ac:dyDescent="0.2">
      <c r="A25" s="84">
        <v>900</v>
      </c>
      <c r="B25" s="85">
        <v>40</v>
      </c>
      <c r="C25" s="86">
        <f t="shared" si="0"/>
        <v>94</v>
      </c>
      <c r="D25" s="87">
        <f t="shared" si="1"/>
        <v>11.75</v>
      </c>
      <c r="E25" s="88">
        <v>8</v>
      </c>
      <c r="F25" s="89">
        <f t="shared" si="2"/>
        <v>19.75</v>
      </c>
      <c r="G25" s="90">
        <f t="shared" si="3"/>
        <v>2.1944444444444446</v>
      </c>
      <c r="H25" s="123">
        <f t="shared" si="4"/>
        <v>3</v>
      </c>
      <c r="I25" s="92">
        <f t="shared" si="5"/>
        <v>2.5</v>
      </c>
      <c r="J25" s="93">
        <f t="shared" si="6"/>
        <v>678.11599999999999</v>
      </c>
      <c r="K25" s="95">
        <f t="shared" si="7"/>
        <v>270</v>
      </c>
      <c r="L25" s="94">
        <f t="shared" si="8"/>
        <v>500</v>
      </c>
      <c r="M25" s="95">
        <f t="shared" si="9"/>
        <v>1448.116</v>
      </c>
      <c r="N25" s="93">
        <f t="shared" si="10"/>
        <v>379.99372311986855</v>
      </c>
      <c r="O25" s="96">
        <f t="shared" si="11"/>
        <v>1828.1097231198685</v>
      </c>
      <c r="P25" s="71">
        <v>9</v>
      </c>
      <c r="Q25" s="97">
        <f t="shared" si="12"/>
        <v>609.36990770662283</v>
      </c>
      <c r="R25" s="98"/>
    </row>
    <row r="26" spans="1:18" s="73" customFormat="1" ht="11.25" x14ac:dyDescent="0.2">
      <c r="A26" s="84">
        <v>1000</v>
      </c>
      <c r="B26" s="85">
        <v>40</v>
      </c>
      <c r="C26" s="86">
        <f t="shared" si="0"/>
        <v>104</v>
      </c>
      <c r="D26" s="87">
        <f t="shared" si="1"/>
        <v>13</v>
      </c>
      <c r="E26" s="88">
        <v>8</v>
      </c>
      <c r="F26" s="89">
        <f t="shared" si="2"/>
        <v>21</v>
      </c>
      <c r="G26" s="90">
        <f t="shared" si="3"/>
        <v>2.3333333333333335</v>
      </c>
      <c r="H26" s="123">
        <f t="shared" si="4"/>
        <v>3</v>
      </c>
      <c r="I26" s="92">
        <f t="shared" si="5"/>
        <v>2.5</v>
      </c>
      <c r="J26" s="93">
        <f t="shared" si="6"/>
        <v>750.25600000000009</v>
      </c>
      <c r="K26" s="95">
        <f t="shared" si="7"/>
        <v>270</v>
      </c>
      <c r="L26" s="94">
        <f t="shared" si="8"/>
        <v>500</v>
      </c>
      <c r="M26" s="95">
        <f t="shared" si="9"/>
        <v>1520.2560000000001</v>
      </c>
      <c r="N26" s="93">
        <f t="shared" si="10"/>
        <v>398.92366187192113</v>
      </c>
      <c r="O26" s="96">
        <f t="shared" si="11"/>
        <v>1919.1796618719213</v>
      </c>
      <c r="P26" s="71">
        <v>10</v>
      </c>
      <c r="Q26" s="97">
        <f t="shared" si="12"/>
        <v>639.72655395730715</v>
      </c>
      <c r="R26" s="98"/>
    </row>
    <row r="27" spans="1:18" s="73" customFormat="1" ht="11.25" x14ac:dyDescent="0.2">
      <c r="A27" s="84">
        <v>1100</v>
      </c>
      <c r="B27" s="85">
        <v>40</v>
      </c>
      <c r="C27" s="86">
        <f t="shared" si="0"/>
        <v>114</v>
      </c>
      <c r="D27" s="87">
        <f t="shared" si="1"/>
        <v>14.25</v>
      </c>
      <c r="E27" s="88">
        <v>8</v>
      </c>
      <c r="F27" s="89">
        <f t="shared" si="2"/>
        <v>22.25</v>
      </c>
      <c r="G27" s="90">
        <f t="shared" si="3"/>
        <v>2.4722222222222223</v>
      </c>
      <c r="H27" s="123">
        <f t="shared" si="4"/>
        <v>3</v>
      </c>
      <c r="I27" s="92">
        <f t="shared" si="5"/>
        <v>2.5</v>
      </c>
      <c r="J27" s="93">
        <f t="shared" si="6"/>
        <v>822.39600000000007</v>
      </c>
      <c r="K27" s="95">
        <f t="shared" si="7"/>
        <v>270</v>
      </c>
      <c r="L27" s="94">
        <f t="shared" si="8"/>
        <v>500</v>
      </c>
      <c r="M27" s="95">
        <f t="shared" si="9"/>
        <v>1592.3960000000002</v>
      </c>
      <c r="N27" s="93">
        <f t="shared" si="10"/>
        <v>417.85360062397365</v>
      </c>
      <c r="O27" s="96">
        <f t="shared" si="11"/>
        <v>2010.2496006239739</v>
      </c>
      <c r="P27" s="71">
        <v>11</v>
      </c>
      <c r="Q27" s="97">
        <f t="shared" si="12"/>
        <v>670.08320020799135</v>
      </c>
      <c r="R27" s="98"/>
    </row>
    <row r="28" spans="1:18" s="73" customFormat="1" ht="11.25" x14ac:dyDescent="0.2">
      <c r="A28" s="84">
        <v>1200</v>
      </c>
      <c r="B28" s="85">
        <v>40</v>
      </c>
      <c r="C28" s="86">
        <f t="shared" si="0"/>
        <v>124</v>
      </c>
      <c r="D28" s="87">
        <f t="shared" si="1"/>
        <v>15.5</v>
      </c>
      <c r="E28" s="88">
        <v>8</v>
      </c>
      <c r="F28" s="89">
        <f t="shared" si="2"/>
        <v>23.5</v>
      </c>
      <c r="G28" s="90">
        <f t="shared" si="3"/>
        <v>2.6111111111111112</v>
      </c>
      <c r="H28" s="123">
        <f t="shared" si="4"/>
        <v>3</v>
      </c>
      <c r="I28" s="92">
        <f t="shared" si="5"/>
        <v>2.5</v>
      </c>
      <c r="J28" s="93">
        <f t="shared" si="6"/>
        <v>894.53600000000006</v>
      </c>
      <c r="K28" s="95">
        <f t="shared" si="7"/>
        <v>270</v>
      </c>
      <c r="L28" s="94">
        <f t="shared" si="8"/>
        <v>500</v>
      </c>
      <c r="M28" s="95">
        <f t="shared" si="9"/>
        <v>1664.5360000000001</v>
      </c>
      <c r="N28" s="93">
        <f t="shared" si="10"/>
        <v>436.78353937602617</v>
      </c>
      <c r="O28" s="96">
        <f t="shared" si="11"/>
        <v>2101.3195393760261</v>
      </c>
      <c r="P28" s="71">
        <v>12</v>
      </c>
      <c r="Q28" s="97">
        <f t="shared" si="12"/>
        <v>700.43984645867533</v>
      </c>
      <c r="R28" s="98"/>
    </row>
    <row r="29" spans="1:18" s="73" customFormat="1" ht="11.25" x14ac:dyDescent="0.2">
      <c r="A29" s="84">
        <v>1300</v>
      </c>
      <c r="B29" s="85">
        <v>40</v>
      </c>
      <c r="C29" s="86">
        <f t="shared" si="0"/>
        <v>134</v>
      </c>
      <c r="D29" s="87">
        <f t="shared" si="1"/>
        <v>16.75</v>
      </c>
      <c r="E29" s="88">
        <v>8</v>
      </c>
      <c r="F29" s="89">
        <f t="shared" si="2"/>
        <v>24.75</v>
      </c>
      <c r="G29" s="90">
        <f t="shared" si="3"/>
        <v>2.75</v>
      </c>
      <c r="H29" s="123">
        <f t="shared" si="4"/>
        <v>3</v>
      </c>
      <c r="I29" s="92">
        <f t="shared" si="5"/>
        <v>2.5</v>
      </c>
      <c r="J29" s="93">
        <f t="shared" si="6"/>
        <v>966.67600000000004</v>
      </c>
      <c r="K29" s="95">
        <f t="shared" si="7"/>
        <v>270</v>
      </c>
      <c r="L29" s="94">
        <f t="shared" si="8"/>
        <v>500</v>
      </c>
      <c r="M29" s="95">
        <f t="shared" si="9"/>
        <v>1736.6759999999999</v>
      </c>
      <c r="N29" s="93">
        <f t="shared" si="10"/>
        <v>455.71347812807869</v>
      </c>
      <c r="O29" s="96">
        <f t="shared" si="11"/>
        <v>2192.3894781280787</v>
      </c>
      <c r="P29" s="71">
        <v>13</v>
      </c>
      <c r="Q29" s="97">
        <f t="shared" si="12"/>
        <v>730.79649270935954</v>
      </c>
      <c r="R29" s="98"/>
    </row>
    <row r="30" spans="1:18" s="73" customFormat="1" ht="11.25" x14ac:dyDescent="0.2">
      <c r="A30" s="84">
        <v>1400</v>
      </c>
      <c r="B30" s="85">
        <v>40</v>
      </c>
      <c r="C30" s="86">
        <f t="shared" si="0"/>
        <v>144</v>
      </c>
      <c r="D30" s="87">
        <f t="shared" si="1"/>
        <v>18</v>
      </c>
      <c r="E30" s="88">
        <v>8</v>
      </c>
      <c r="F30" s="89">
        <f t="shared" si="2"/>
        <v>26</v>
      </c>
      <c r="G30" s="90">
        <f t="shared" si="3"/>
        <v>2.8888888888888888</v>
      </c>
      <c r="H30" s="123">
        <f t="shared" si="4"/>
        <v>3</v>
      </c>
      <c r="I30" s="92">
        <f t="shared" si="5"/>
        <v>2.5</v>
      </c>
      <c r="J30" s="93">
        <f t="shared" si="6"/>
        <v>1038.816</v>
      </c>
      <c r="K30" s="95">
        <f t="shared" si="7"/>
        <v>270</v>
      </c>
      <c r="L30" s="94">
        <f t="shared" si="8"/>
        <v>500</v>
      </c>
      <c r="M30" s="95">
        <f t="shared" si="9"/>
        <v>1808.816</v>
      </c>
      <c r="N30" s="93">
        <f t="shared" si="10"/>
        <v>474.64341688013127</v>
      </c>
      <c r="O30" s="96">
        <f t="shared" si="11"/>
        <v>2283.4594168801314</v>
      </c>
      <c r="P30" s="71">
        <v>14</v>
      </c>
      <c r="Q30" s="97">
        <f t="shared" si="12"/>
        <v>761.15313896004375</v>
      </c>
      <c r="R30" s="98"/>
    </row>
    <row r="31" spans="1:18" s="73" customFormat="1" ht="11.25" x14ac:dyDescent="0.2">
      <c r="A31" s="84">
        <v>1500</v>
      </c>
      <c r="B31" s="85">
        <v>40</v>
      </c>
      <c r="C31" s="86">
        <f t="shared" si="0"/>
        <v>154</v>
      </c>
      <c r="D31" s="87">
        <f t="shared" si="1"/>
        <v>19.25</v>
      </c>
      <c r="E31" s="88">
        <v>8</v>
      </c>
      <c r="F31" s="89">
        <f t="shared" si="2"/>
        <v>27.25</v>
      </c>
      <c r="G31" s="90">
        <f t="shared" si="3"/>
        <v>3.0277777777777777</v>
      </c>
      <c r="H31" s="123">
        <f t="shared" si="4"/>
        <v>4</v>
      </c>
      <c r="I31" s="92">
        <f t="shared" si="5"/>
        <v>3.5</v>
      </c>
      <c r="J31" s="93">
        <f t="shared" si="6"/>
        <v>1110.9560000000001</v>
      </c>
      <c r="K31" s="95">
        <f t="shared" si="7"/>
        <v>360</v>
      </c>
      <c r="L31" s="94">
        <f t="shared" si="8"/>
        <v>700</v>
      </c>
      <c r="M31" s="95">
        <f t="shared" si="9"/>
        <v>2170.9560000000001</v>
      </c>
      <c r="N31" s="93">
        <f t="shared" si="10"/>
        <v>569.67097467980284</v>
      </c>
      <c r="O31" s="96">
        <f t="shared" si="11"/>
        <v>2740.626974679803</v>
      </c>
      <c r="P31" s="71">
        <v>15</v>
      </c>
      <c r="Q31" s="97">
        <f t="shared" si="12"/>
        <v>685.15674366995074</v>
      </c>
      <c r="R31" s="98"/>
    </row>
    <row r="32" spans="1:18" s="73" customFormat="1" ht="11.25" x14ac:dyDescent="0.2">
      <c r="A32" s="84">
        <v>1600</v>
      </c>
      <c r="B32" s="85">
        <v>40</v>
      </c>
      <c r="C32" s="86">
        <f t="shared" si="0"/>
        <v>164</v>
      </c>
      <c r="D32" s="87">
        <f t="shared" si="1"/>
        <v>20.5</v>
      </c>
      <c r="E32" s="88">
        <v>8</v>
      </c>
      <c r="F32" s="89">
        <f t="shared" si="2"/>
        <v>28.5</v>
      </c>
      <c r="G32" s="90">
        <f t="shared" si="3"/>
        <v>3.1666666666666665</v>
      </c>
      <c r="H32" s="123">
        <f t="shared" si="4"/>
        <v>4</v>
      </c>
      <c r="I32" s="92">
        <f t="shared" si="5"/>
        <v>3.5</v>
      </c>
      <c r="J32" s="93">
        <f t="shared" si="6"/>
        <v>1183.096</v>
      </c>
      <c r="K32" s="95">
        <f t="shared" si="7"/>
        <v>360</v>
      </c>
      <c r="L32" s="94">
        <f t="shared" si="8"/>
        <v>700</v>
      </c>
      <c r="M32" s="95">
        <f t="shared" si="9"/>
        <v>2243.096</v>
      </c>
      <c r="N32" s="93">
        <f t="shared" si="10"/>
        <v>588.60091343185536</v>
      </c>
      <c r="O32" s="96">
        <f t="shared" si="11"/>
        <v>2831.6969134318551</v>
      </c>
      <c r="P32" s="71">
        <v>16</v>
      </c>
      <c r="Q32" s="97">
        <f t="shared" si="12"/>
        <v>707.92422835796378</v>
      </c>
      <c r="R32" s="98"/>
    </row>
    <row r="33" spans="1:18" s="73" customFormat="1" ht="11.25" x14ac:dyDescent="0.2">
      <c r="A33" s="84">
        <v>1700</v>
      </c>
      <c r="B33" s="85">
        <v>40</v>
      </c>
      <c r="C33" s="86">
        <f t="shared" si="0"/>
        <v>174</v>
      </c>
      <c r="D33" s="87">
        <f t="shared" si="1"/>
        <v>21.75</v>
      </c>
      <c r="E33" s="88">
        <v>8</v>
      </c>
      <c r="F33" s="89">
        <f t="shared" si="2"/>
        <v>29.75</v>
      </c>
      <c r="G33" s="90">
        <f t="shared" si="3"/>
        <v>3.3055555555555554</v>
      </c>
      <c r="H33" s="123">
        <f t="shared" si="4"/>
        <v>4</v>
      </c>
      <c r="I33" s="92">
        <f t="shared" si="5"/>
        <v>3.5</v>
      </c>
      <c r="J33" s="93">
        <f t="shared" si="6"/>
        <v>1255.2360000000001</v>
      </c>
      <c r="K33" s="95">
        <f t="shared" si="7"/>
        <v>360</v>
      </c>
      <c r="L33" s="94">
        <f t="shared" si="8"/>
        <v>700</v>
      </c>
      <c r="M33" s="95">
        <f t="shared" si="9"/>
        <v>2315.2359999999999</v>
      </c>
      <c r="N33" s="93">
        <f t="shared" si="10"/>
        <v>607.53085218390788</v>
      </c>
      <c r="O33" s="96">
        <f t="shared" si="11"/>
        <v>2922.7668521839078</v>
      </c>
      <c r="P33" s="71">
        <v>17</v>
      </c>
      <c r="Q33" s="97">
        <f t="shared" si="12"/>
        <v>730.69171304597694</v>
      </c>
      <c r="R33" s="98"/>
    </row>
    <row r="34" spans="1:18" s="73" customFormat="1" ht="11.25" x14ac:dyDescent="0.2">
      <c r="A34" s="84">
        <v>1800</v>
      </c>
      <c r="B34" s="85">
        <v>40</v>
      </c>
      <c r="C34" s="86">
        <f t="shared" si="0"/>
        <v>184</v>
      </c>
      <c r="D34" s="87">
        <f t="shared" si="1"/>
        <v>23</v>
      </c>
      <c r="E34" s="88">
        <v>8</v>
      </c>
      <c r="F34" s="89">
        <f t="shared" si="2"/>
        <v>31</v>
      </c>
      <c r="G34" s="90">
        <f t="shared" si="3"/>
        <v>3.4444444444444446</v>
      </c>
      <c r="H34" s="123">
        <f t="shared" si="4"/>
        <v>4</v>
      </c>
      <c r="I34" s="92">
        <f t="shared" si="5"/>
        <v>3.5</v>
      </c>
      <c r="J34" s="93">
        <f t="shared" si="6"/>
        <v>1327.376</v>
      </c>
      <c r="K34" s="95">
        <f t="shared" si="7"/>
        <v>360</v>
      </c>
      <c r="L34" s="94">
        <f t="shared" si="8"/>
        <v>700</v>
      </c>
      <c r="M34" s="95">
        <f t="shared" si="9"/>
        <v>2387.3760000000002</v>
      </c>
      <c r="N34" s="93">
        <f t="shared" si="10"/>
        <v>626.46079093596052</v>
      </c>
      <c r="O34" s="96">
        <f t="shared" si="11"/>
        <v>3013.8367909359608</v>
      </c>
      <c r="P34" s="71">
        <v>18</v>
      </c>
      <c r="Q34" s="97">
        <f t="shared" si="12"/>
        <v>753.45919773399021</v>
      </c>
      <c r="R34" s="98"/>
    </row>
    <row r="35" spans="1:18" s="73" customFormat="1" ht="11.25" x14ac:dyDescent="0.2">
      <c r="A35" s="84">
        <v>1900</v>
      </c>
      <c r="B35" s="85">
        <v>40</v>
      </c>
      <c r="C35" s="86">
        <f t="shared" si="0"/>
        <v>194</v>
      </c>
      <c r="D35" s="87">
        <f t="shared" si="1"/>
        <v>24.25</v>
      </c>
      <c r="E35" s="88">
        <v>8</v>
      </c>
      <c r="F35" s="89">
        <f t="shared" si="2"/>
        <v>32.25</v>
      </c>
      <c r="G35" s="90">
        <f t="shared" si="3"/>
        <v>3.5833333333333335</v>
      </c>
      <c r="H35" s="123">
        <f t="shared" si="4"/>
        <v>4</v>
      </c>
      <c r="I35" s="92">
        <f t="shared" si="5"/>
        <v>3.5</v>
      </c>
      <c r="J35" s="93">
        <f t="shared" si="6"/>
        <v>1399.5160000000001</v>
      </c>
      <c r="K35" s="95">
        <f t="shared" si="7"/>
        <v>360</v>
      </c>
      <c r="L35" s="94">
        <f t="shared" si="8"/>
        <v>700</v>
      </c>
      <c r="M35" s="95">
        <f t="shared" si="9"/>
        <v>2459.5160000000001</v>
      </c>
      <c r="N35" s="93">
        <f t="shared" si="10"/>
        <v>645.39072968801304</v>
      </c>
      <c r="O35" s="96">
        <f t="shared" si="11"/>
        <v>3104.906729688013</v>
      </c>
      <c r="P35" s="71">
        <v>19</v>
      </c>
      <c r="Q35" s="97">
        <f t="shared" si="12"/>
        <v>776.22668242200325</v>
      </c>
      <c r="R35" s="98"/>
    </row>
    <row r="36" spans="1:18" s="73" customFormat="1" ht="11.25" x14ac:dyDescent="0.2">
      <c r="A36" s="84">
        <v>2000</v>
      </c>
      <c r="B36" s="85">
        <v>40</v>
      </c>
      <c r="C36" s="86">
        <f t="shared" si="0"/>
        <v>204</v>
      </c>
      <c r="D36" s="87">
        <f t="shared" si="1"/>
        <v>25.5</v>
      </c>
      <c r="E36" s="88">
        <v>8</v>
      </c>
      <c r="F36" s="89">
        <f t="shared" si="2"/>
        <v>33.5</v>
      </c>
      <c r="G36" s="90">
        <f t="shared" si="3"/>
        <v>3.7222222222222223</v>
      </c>
      <c r="H36" s="123">
        <f t="shared" si="4"/>
        <v>4</v>
      </c>
      <c r="I36" s="92">
        <f t="shared" si="5"/>
        <v>3.5</v>
      </c>
      <c r="J36" s="93">
        <f t="shared" si="6"/>
        <v>1471.6560000000002</v>
      </c>
      <c r="K36" s="95">
        <f t="shared" si="7"/>
        <v>360</v>
      </c>
      <c r="L36" s="94">
        <f t="shared" si="8"/>
        <v>700</v>
      </c>
      <c r="M36" s="95">
        <f t="shared" si="9"/>
        <v>2531.6559999999999</v>
      </c>
      <c r="N36" s="93">
        <f t="shared" si="10"/>
        <v>664.32066844006545</v>
      </c>
      <c r="O36" s="96">
        <f t="shared" si="11"/>
        <v>3195.9766684400656</v>
      </c>
      <c r="P36" s="71">
        <v>20</v>
      </c>
      <c r="Q36" s="97">
        <f t="shared" si="12"/>
        <v>798.99416711001641</v>
      </c>
      <c r="R36" s="98"/>
    </row>
    <row r="37" spans="1:18" s="73" customFormat="1" ht="11.25" x14ac:dyDescent="0.2">
      <c r="A37" s="84">
        <v>2100</v>
      </c>
      <c r="B37" s="85">
        <v>40</v>
      </c>
      <c r="C37" s="86">
        <f t="shared" si="0"/>
        <v>214</v>
      </c>
      <c r="D37" s="87">
        <f t="shared" si="1"/>
        <v>26.75</v>
      </c>
      <c r="E37" s="88">
        <v>8</v>
      </c>
      <c r="F37" s="89">
        <f t="shared" si="2"/>
        <v>34.75</v>
      </c>
      <c r="G37" s="90">
        <f t="shared" si="3"/>
        <v>3.8611111111111112</v>
      </c>
      <c r="H37" s="123">
        <f t="shared" si="4"/>
        <v>4</v>
      </c>
      <c r="I37" s="92">
        <f t="shared" si="5"/>
        <v>3.5</v>
      </c>
      <c r="J37" s="93">
        <f t="shared" si="6"/>
        <v>1543.796</v>
      </c>
      <c r="K37" s="95">
        <f t="shared" si="7"/>
        <v>360</v>
      </c>
      <c r="L37" s="94">
        <f t="shared" si="8"/>
        <v>700</v>
      </c>
      <c r="M37" s="95">
        <f t="shared" si="9"/>
        <v>2603.7960000000003</v>
      </c>
      <c r="N37" s="93">
        <f t="shared" si="10"/>
        <v>683.25060719211808</v>
      </c>
      <c r="O37" s="96">
        <f t="shared" si="11"/>
        <v>3287.0466071921182</v>
      </c>
      <c r="P37" s="71">
        <v>21</v>
      </c>
      <c r="Q37" s="97">
        <f t="shared" si="12"/>
        <v>821.76165179802956</v>
      </c>
      <c r="R37" s="98"/>
    </row>
    <row r="38" spans="1:18" s="73" customFormat="1" ht="11.25" x14ac:dyDescent="0.2">
      <c r="A38" s="84">
        <v>2200</v>
      </c>
      <c r="B38" s="85">
        <v>40</v>
      </c>
      <c r="C38" s="86">
        <f t="shared" si="0"/>
        <v>224</v>
      </c>
      <c r="D38" s="87">
        <f t="shared" si="1"/>
        <v>28</v>
      </c>
      <c r="E38" s="88">
        <v>8</v>
      </c>
      <c r="F38" s="89">
        <f t="shared" si="2"/>
        <v>36</v>
      </c>
      <c r="G38" s="90">
        <f t="shared" si="3"/>
        <v>4</v>
      </c>
      <c r="H38" s="123">
        <f t="shared" si="4"/>
        <v>4</v>
      </c>
      <c r="I38" s="92">
        <f t="shared" si="5"/>
        <v>3.5</v>
      </c>
      <c r="J38" s="93">
        <f t="shared" si="6"/>
        <v>1615.9360000000001</v>
      </c>
      <c r="K38" s="95">
        <f t="shared" si="7"/>
        <v>360</v>
      </c>
      <c r="L38" s="94">
        <f t="shared" si="8"/>
        <v>700</v>
      </c>
      <c r="M38" s="95">
        <f t="shared" si="9"/>
        <v>2675.9360000000001</v>
      </c>
      <c r="N38" s="93">
        <f t="shared" si="10"/>
        <v>702.1805459441706</v>
      </c>
      <c r="O38" s="96">
        <f t="shared" si="11"/>
        <v>3378.1165459441709</v>
      </c>
      <c r="P38" s="71">
        <v>22</v>
      </c>
      <c r="Q38" s="97">
        <f t="shared" si="12"/>
        <v>844.52913648604272</v>
      </c>
      <c r="R38" s="98"/>
    </row>
    <row r="39" spans="1:18" s="73" customFormat="1" ht="11.25" x14ac:dyDescent="0.2">
      <c r="A39" s="84">
        <v>2300</v>
      </c>
      <c r="B39" s="85">
        <v>40</v>
      </c>
      <c r="C39" s="86">
        <f t="shared" si="0"/>
        <v>234</v>
      </c>
      <c r="D39" s="87">
        <f t="shared" si="1"/>
        <v>29.25</v>
      </c>
      <c r="E39" s="88">
        <v>8</v>
      </c>
      <c r="F39" s="89">
        <f t="shared" si="2"/>
        <v>37.25</v>
      </c>
      <c r="G39" s="90">
        <f t="shared" si="3"/>
        <v>4.1388888888888893</v>
      </c>
      <c r="H39" s="123">
        <f t="shared" si="4"/>
        <v>5</v>
      </c>
      <c r="I39" s="92">
        <f t="shared" si="5"/>
        <v>4.5</v>
      </c>
      <c r="J39" s="93">
        <f t="shared" si="6"/>
        <v>1688.076</v>
      </c>
      <c r="K39" s="95">
        <f t="shared" si="7"/>
        <v>450</v>
      </c>
      <c r="L39" s="94">
        <f t="shared" si="8"/>
        <v>900</v>
      </c>
      <c r="M39" s="95">
        <f t="shared" si="9"/>
        <v>3038.076</v>
      </c>
      <c r="N39" s="93">
        <f t="shared" si="10"/>
        <v>797.20810374384212</v>
      </c>
      <c r="O39" s="96">
        <f t="shared" si="11"/>
        <v>3835.284103743842</v>
      </c>
      <c r="P39" s="71">
        <v>23</v>
      </c>
      <c r="Q39" s="97">
        <f t="shared" si="12"/>
        <v>767.05682074876836</v>
      </c>
      <c r="R39" s="98"/>
    </row>
    <row r="40" spans="1:18" s="73" customFormat="1" ht="11.25" x14ac:dyDescent="0.2">
      <c r="A40" s="84">
        <v>2400</v>
      </c>
      <c r="B40" s="85">
        <v>40</v>
      </c>
      <c r="C40" s="86">
        <f t="shared" si="0"/>
        <v>244</v>
      </c>
      <c r="D40" s="87">
        <f t="shared" si="1"/>
        <v>30.5</v>
      </c>
      <c r="E40" s="88">
        <v>8</v>
      </c>
      <c r="F40" s="89">
        <f t="shared" si="2"/>
        <v>38.5</v>
      </c>
      <c r="G40" s="90">
        <f t="shared" si="3"/>
        <v>4.2777777777777777</v>
      </c>
      <c r="H40" s="123">
        <f t="shared" si="4"/>
        <v>5</v>
      </c>
      <c r="I40" s="92">
        <f t="shared" si="5"/>
        <v>4.5</v>
      </c>
      <c r="J40" s="93">
        <f t="shared" si="6"/>
        <v>1760.2160000000001</v>
      </c>
      <c r="K40" s="95">
        <f t="shared" si="7"/>
        <v>450</v>
      </c>
      <c r="L40" s="94">
        <f t="shared" si="8"/>
        <v>900</v>
      </c>
      <c r="M40" s="95">
        <f t="shared" si="9"/>
        <v>3110.2160000000003</v>
      </c>
      <c r="N40" s="93">
        <f t="shared" si="10"/>
        <v>816.13804249589475</v>
      </c>
      <c r="O40" s="96">
        <f t="shared" si="11"/>
        <v>3926.3540424958951</v>
      </c>
      <c r="P40" s="71">
        <v>24</v>
      </c>
      <c r="Q40" s="97">
        <f t="shared" si="12"/>
        <v>785.270808499179</v>
      </c>
      <c r="R40" s="98"/>
    </row>
    <row r="41" spans="1:18" s="73" customFormat="1" ht="11.25" x14ac:dyDescent="0.2">
      <c r="A41" s="84">
        <v>2500</v>
      </c>
      <c r="B41" s="85">
        <v>40</v>
      </c>
      <c r="C41" s="86">
        <f t="shared" si="0"/>
        <v>254</v>
      </c>
      <c r="D41" s="87">
        <f t="shared" si="1"/>
        <v>31.75</v>
      </c>
      <c r="E41" s="88">
        <v>8</v>
      </c>
      <c r="F41" s="89">
        <f t="shared" si="2"/>
        <v>39.75</v>
      </c>
      <c r="G41" s="90">
        <f t="shared" si="3"/>
        <v>4.416666666666667</v>
      </c>
      <c r="H41" s="123">
        <f t="shared" si="4"/>
        <v>5</v>
      </c>
      <c r="I41" s="92">
        <f t="shared" si="5"/>
        <v>4.5</v>
      </c>
      <c r="J41" s="93">
        <f t="shared" si="6"/>
        <v>1832.356</v>
      </c>
      <c r="K41" s="95">
        <f t="shared" si="7"/>
        <v>450</v>
      </c>
      <c r="L41" s="94">
        <f t="shared" si="8"/>
        <v>900</v>
      </c>
      <c r="M41" s="95">
        <f t="shared" si="9"/>
        <v>3182.3559999999998</v>
      </c>
      <c r="N41" s="93">
        <f t="shared" si="10"/>
        <v>835.06798124794716</v>
      </c>
      <c r="O41" s="96">
        <f t="shared" si="11"/>
        <v>4017.4239812479468</v>
      </c>
      <c r="P41" s="71">
        <v>25</v>
      </c>
      <c r="Q41" s="97">
        <f t="shared" si="12"/>
        <v>803.48479624958941</v>
      </c>
      <c r="R41" s="98"/>
    </row>
    <row r="42" spans="1:18" s="73" customFormat="1" ht="11.25" x14ac:dyDescent="0.2">
      <c r="A42" s="84">
        <v>2600</v>
      </c>
      <c r="B42" s="85">
        <v>40</v>
      </c>
      <c r="C42" s="86">
        <f t="shared" si="0"/>
        <v>264</v>
      </c>
      <c r="D42" s="87">
        <f t="shared" si="1"/>
        <v>33</v>
      </c>
      <c r="E42" s="88">
        <v>8</v>
      </c>
      <c r="F42" s="89">
        <f t="shared" si="2"/>
        <v>41</v>
      </c>
      <c r="G42" s="90">
        <f t="shared" si="3"/>
        <v>4.5555555555555554</v>
      </c>
      <c r="H42" s="123">
        <f t="shared" si="4"/>
        <v>5</v>
      </c>
      <c r="I42" s="92">
        <f t="shared" si="5"/>
        <v>4.5</v>
      </c>
      <c r="J42" s="93">
        <f t="shared" si="6"/>
        <v>1904.4960000000001</v>
      </c>
      <c r="K42" s="95">
        <f t="shared" si="7"/>
        <v>450</v>
      </c>
      <c r="L42" s="94">
        <f t="shared" si="8"/>
        <v>900</v>
      </c>
      <c r="M42" s="95">
        <f t="shared" si="9"/>
        <v>3254.4960000000001</v>
      </c>
      <c r="N42" s="93">
        <f t="shared" si="10"/>
        <v>853.99791999999979</v>
      </c>
      <c r="O42" s="96">
        <f t="shared" si="11"/>
        <v>4108.4939199999999</v>
      </c>
      <c r="P42" s="71">
        <v>26</v>
      </c>
      <c r="Q42" s="97">
        <f t="shared" si="12"/>
        <v>821.69878399999993</v>
      </c>
      <c r="R42" s="98"/>
    </row>
    <row r="43" spans="1:18" s="73" customFormat="1" ht="11.25" x14ac:dyDescent="0.2">
      <c r="A43" s="84">
        <v>2700</v>
      </c>
      <c r="B43" s="85">
        <v>40</v>
      </c>
      <c r="C43" s="86">
        <f t="shared" si="0"/>
        <v>274</v>
      </c>
      <c r="D43" s="87">
        <f t="shared" si="1"/>
        <v>34.25</v>
      </c>
      <c r="E43" s="88">
        <v>8</v>
      </c>
      <c r="F43" s="89">
        <f t="shared" si="2"/>
        <v>42.25</v>
      </c>
      <c r="G43" s="90">
        <f t="shared" si="3"/>
        <v>4.6944444444444446</v>
      </c>
      <c r="H43" s="123">
        <f t="shared" si="4"/>
        <v>5</v>
      </c>
      <c r="I43" s="92">
        <f t="shared" si="5"/>
        <v>4.5</v>
      </c>
      <c r="J43" s="93">
        <f t="shared" si="6"/>
        <v>1976.6360000000002</v>
      </c>
      <c r="K43" s="95">
        <f t="shared" si="7"/>
        <v>450</v>
      </c>
      <c r="L43" s="94">
        <f t="shared" si="8"/>
        <v>900</v>
      </c>
      <c r="M43" s="95">
        <f t="shared" si="9"/>
        <v>3326.6360000000004</v>
      </c>
      <c r="N43" s="93">
        <f t="shared" si="10"/>
        <v>872.92785875205243</v>
      </c>
      <c r="O43" s="96">
        <f t="shared" si="11"/>
        <v>4199.5638587520525</v>
      </c>
      <c r="P43" s="71">
        <v>27</v>
      </c>
      <c r="Q43" s="97">
        <f t="shared" si="12"/>
        <v>839.91277175041046</v>
      </c>
      <c r="R43" s="98"/>
    </row>
    <row r="44" spans="1:18" s="73" customFormat="1" ht="11.25" x14ac:dyDescent="0.2">
      <c r="A44" s="84">
        <v>2800</v>
      </c>
      <c r="B44" s="85">
        <v>40</v>
      </c>
      <c r="C44" s="86">
        <f t="shared" si="0"/>
        <v>284</v>
      </c>
      <c r="D44" s="87">
        <f t="shared" si="1"/>
        <v>35.5</v>
      </c>
      <c r="E44" s="88">
        <v>8</v>
      </c>
      <c r="F44" s="89">
        <f t="shared" si="2"/>
        <v>43.5</v>
      </c>
      <c r="G44" s="90">
        <f t="shared" si="3"/>
        <v>4.833333333333333</v>
      </c>
      <c r="H44" s="123">
        <f t="shared" si="4"/>
        <v>5</v>
      </c>
      <c r="I44" s="92">
        <f t="shared" si="5"/>
        <v>4.5</v>
      </c>
      <c r="J44" s="93">
        <f t="shared" si="6"/>
        <v>2048.7760000000003</v>
      </c>
      <c r="K44" s="95">
        <f t="shared" si="7"/>
        <v>450</v>
      </c>
      <c r="L44" s="94">
        <f t="shared" si="8"/>
        <v>900</v>
      </c>
      <c r="M44" s="95">
        <f t="shared" si="9"/>
        <v>3398.7760000000003</v>
      </c>
      <c r="N44" s="93">
        <f t="shared" si="10"/>
        <v>891.85779750410495</v>
      </c>
      <c r="O44" s="96">
        <f t="shared" si="11"/>
        <v>4290.6337975041051</v>
      </c>
      <c r="P44" s="71">
        <v>28</v>
      </c>
      <c r="Q44" s="97">
        <f t="shared" si="12"/>
        <v>858.12675950082098</v>
      </c>
      <c r="R44" s="98"/>
    </row>
    <row r="45" spans="1:18" s="73" customFormat="1" ht="11.25" x14ac:dyDescent="0.2">
      <c r="A45" s="84">
        <v>2900</v>
      </c>
      <c r="B45" s="85">
        <v>40</v>
      </c>
      <c r="C45" s="86">
        <f t="shared" si="0"/>
        <v>294</v>
      </c>
      <c r="D45" s="87">
        <f t="shared" si="1"/>
        <v>36.75</v>
      </c>
      <c r="E45" s="88">
        <v>8</v>
      </c>
      <c r="F45" s="89">
        <f t="shared" si="2"/>
        <v>44.75</v>
      </c>
      <c r="G45" s="90">
        <f t="shared" si="3"/>
        <v>4.9722222222222223</v>
      </c>
      <c r="H45" s="123">
        <f t="shared" si="4"/>
        <v>5</v>
      </c>
      <c r="I45" s="92">
        <f t="shared" si="5"/>
        <v>4.5</v>
      </c>
      <c r="J45" s="93">
        <f t="shared" si="6"/>
        <v>2120.9160000000002</v>
      </c>
      <c r="K45" s="95">
        <f t="shared" si="7"/>
        <v>450</v>
      </c>
      <c r="L45" s="94">
        <f t="shared" si="8"/>
        <v>900</v>
      </c>
      <c r="M45" s="95">
        <f t="shared" si="9"/>
        <v>3470.9160000000002</v>
      </c>
      <c r="N45" s="93">
        <f t="shared" si="10"/>
        <v>910.78773625615747</v>
      </c>
      <c r="O45" s="96">
        <f t="shared" si="11"/>
        <v>4381.7037362561578</v>
      </c>
      <c r="P45" s="71">
        <v>29</v>
      </c>
      <c r="Q45" s="97">
        <f t="shared" si="12"/>
        <v>876.34074725123151</v>
      </c>
      <c r="R45" s="98"/>
    </row>
    <row r="46" spans="1:18" s="73" customFormat="1" ht="11.25" x14ac:dyDescent="0.2">
      <c r="A46" s="84">
        <v>3000</v>
      </c>
      <c r="B46" s="85">
        <v>40</v>
      </c>
      <c r="C46" s="86">
        <f t="shared" si="0"/>
        <v>304</v>
      </c>
      <c r="D46" s="87">
        <f t="shared" si="1"/>
        <v>38</v>
      </c>
      <c r="E46" s="88">
        <v>8</v>
      </c>
      <c r="F46" s="89">
        <f t="shared" si="2"/>
        <v>46</v>
      </c>
      <c r="G46" s="90">
        <f t="shared" si="3"/>
        <v>5.1111111111111107</v>
      </c>
      <c r="H46" s="123">
        <f t="shared" si="4"/>
        <v>6</v>
      </c>
      <c r="I46" s="92">
        <f t="shared" si="5"/>
        <v>5.5</v>
      </c>
      <c r="J46" s="93">
        <f t="shared" si="6"/>
        <v>2193.056</v>
      </c>
      <c r="K46" s="95">
        <f t="shared" si="7"/>
        <v>540</v>
      </c>
      <c r="L46" s="94">
        <f t="shared" si="8"/>
        <v>1100</v>
      </c>
      <c r="M46" s="95">
        <f t="shared" si="9"/>
        <v>3833.056</v>
      </c>
      <c r="N46" s="93">
        <f t="shared" si="10"/>
        <v>1005.815294055829</v>
      </c>
      <c r="O46" s="96">
        <f t="shared" si="11"/>
        <v>4838.8712940558289</v>
      </c>
      <c r="P46" s="71">
        <v>30</v>
      </c>
      <c r="Q46" s="97">
        <f t="shared" si="12"/>
        <v>806.47854900930486</v>
      </c>
      <c r="R46" s="98"/>
    </row>
    <row r="47" spans="1:18" s="112" customFormat="1" ht="11.25" x14ac:dyDescent="0.2">
      <c r="D47" s="113"/>
      <c r="E47" s="114"/>
      <c r="F47" s="115"/>
      <c r="G47" s="116"/>
      <c r="H47" s="116"/>
      <c r="I47" s="116"/>
      <c r="J47" s="116"/>
      <c r="N47" s="73"/>
      <c r="O47" s="117"/>
      <c r="P47" s="118"/>
      <c r="Q47" s="119">
        <f>SUM(Q17:Q46)</f>
        <v>20891.01439518117</v>
      </c>
    </row>
    <row r="48" spans="1:18" x14ac:dyDescent="0.2">
      <c r="O48" s="120"/>
      <c r="Q48" s="119">
        <f>Q47/30</f>
        <v>696.36714650603903</v>
      </c>
    </row>
    <row r="53" s="41" customFormat="1" ht="11.25" x14ac:dyDescent="0.2"/>
    <row r="54" s="41" customFormat="1" ht="11.25" x14ac:dyDescent="0.2"/>
    <row r="55" s="41" customFormat="1" ht="11.25" x14ac:dyDescent="0.2"/>
    <row r="56" s="41" customFormat="1" ht="11.25" x14ac:dyDescent="0.2"/>
    <row r="57" s="41" customFormat="1" ht="11.25" x14ac:dyDescent="0.2"/>
    <row r="58" s="41" customFormat="1" ht="11.25" x14ac:dyDescent="0.2"/>
    <row r="60" s="41" customFormat="1" ht="11.25" x14ac:dyDescent="0.2"/>
  </sheetData>
  <mergeCells count="10">
    <mergeCell ref="A7:E7"/>
    <mergeCell ref="A8:E8"/>
    <mergeCell ref="A9:E9"/>
    <mergeCell ref="A10:E10"/>
    <mergeCell ref="A11:E11"/>
    <mergeCell ref="A1:O1"/>
    <mergeCell ref="A2:O2"/>
    <mergeCell ref="A4:F4"/>
    <mergeCell ref="A5:E5"/>
    <mergeCell ref="A6:E6"/>
  </mergeCells>
  <pageMargins left="0.51180555555555496" right="0.51180555555555496" top="0.78749999999999998" bottom="0.78749999999999998" header="0.51180555555555496" footer="0.51180555555555496"/>
  <pageSetup paperSize="9" scale="77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7"/>
  <sheetViews>
    <sheetView zoomScaleNormal="100" workbookViewId="0">
      <selection activeCell="F8" sqref="F8"/>
    </sheetView>
  </sheetViews>
  <sheetFormatPr defaultColWidth="8" defaultRowHeight="12.75" x14ac:dyDescent="0.2"/>
  <cols>
    <col min="1" max="1" width="18.33203125" style="41" customWidth="1"/>
    <col min="2" max="2" width="10.33203125" style="41" customWidth="1"/>
    <col min="3" max="3" width="9.1640625" style="41" customWidth="1"/>
    <col min="4" max="4" width="9.5" style="42" customWidth="1"/>
    <col min="5" max="5" width="9" style="43" customWidth="1"/>
    <col min="6" max="6" width="9.5" style="44" customWidth="1"/>
    <col min="7" max="7" width="9.5" style="45" customWidth="1"/>
    <col min="8" max="9" width="9.1640625" style="45" customWidth="1"/>
    <col min="10" max="10" width="12.5" style="45" customWidth="1"/>
    <col min="11" max="11" width="10.5" style="41" customWidth="1"/>
    <col min="12" max="12" width="12" style="41" bestFit="1" customWidth="1"/>
    <col min="13" max="13" width="11.83203125" style="41" customWidth="1"/>
    <col min="14" max="14" width="10.83203125" style="46" customWidth="1"/>
    <col min="15" max="15" width="14.1640625" style="47" customWidth="1"/>
    <col min="16" max="16" width="6.1640625" style="48" customWidth="1"/>
    <col min="17" max="17" width="18.33203125" style="49" customWidth="1"/>
    <col min="18" max="1024" width="8" style="41"/>
  </cols>
  <sheetData>
    <row r="1" spans="1:17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51"/>
    </row>
    <row r="2" spans="1:17" x14ac:dyDescent="0.2">
      <c r="A2" s="224" t="s">
        <v>160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51"/>
    </row>
    <row r="3" spans="1:17" s="54" customFormat="1" ht="11.25" x14ac:dyDescent="0.2">
      <c r="A3" s="225"/>
      <c r="B3" s="225"/>
      <c r="C3" s="225"/>
      <c r="D3" s="225"/>
      <c r="E3" s="225"/>
      <c r="F3" s="225"/>
      <c r="G3" s="53"/>
      <c r="H3" s="53"/>
      <c r="I3" s="53"/>
      <c r="J3" s="53"/>
      <c r="N3" s="46"/>
      <c r="O3" s="46"/>
      <c r="P3" s="55"/>
      <c r="Q3" s="56"/>
    </row>
    <row r="4" spans="1:17" x14ac:dyDescent="0.2">
      <c r="A4" s="227" t="s">
        <v>161</v>
      </c>
      <c r="B4" s="227"/>
      <c r="C4" s="227"/>
      <c r="D4" s="227"/>
      <c r="E4" s="227"/>
      <c r="F4" s="227"/>
    </row>
    <row r="5" spans="1:17" x14ac:dyDescent="0.2">
      <c r="A5" s="226" t="s">
        <v>127</v>
      </c>
      <c r="B5" s="226"/>
      <c r="C5" s="226"/>
      <c r="D5" s="226"/>
      <c r="E5" s="226"/>
      <c r="F5" s="165">
        <v>80</v>
      </c>
    </row>
    <row r="6" spans="1:17" x14ac:dyDescent="0.2">
      <c r="A6" s="226" t="s">
        <v>128</v>
      </c>
      <c r="B6" s="226"/>
      <c r="C6" s="226"/>
      <c r="D6" s="226"/>
      <c r="E6" s="226"/>
      <c r="F6" s="165">
        <v>4</v>
      </c>
    </row>
    <row r="7" spans="1:17" x14ac:dyDescent="0.2">
      <c r="A7" s="226" t="s">
        <v>129</v>
      </c>
      <c r="B7" s="226"/>
      <c r="C7" s="226"/>
      <c r="D7" s="226"/>
      <c r="E7" s="226"/>
      <c r="F7" s="165">
        <f>'Valor médio de diárias de carro'!B14</f>
        <v>90</v>
      </c>
    </row>
    <row r="8" spans="1:17" x14ac:dyDescent="0.2">
      <c r="A8" s="226" t="s">
        <v>130</v>
      </c>
      <c r="B8" s="226"/>
      <c r="C8" s="226"/>
      <c r="D8" s="226"/>
      <c r="E8" s="226"/>
      <c r="F8" s="166" t="s">
        <v>131</v>
      </c>
    </row>
    <row r="9" spans="1:17" x14ac:dyDescent="0.2">
      <c r="A9" s="226" t="s">
        <v>132</v>
      </c>
      <c r="B9" s="226"/>
      <c r="C9" s="226"/>
      <c r="D9" s="226"/>
      <c r="E9" s="226"/>
      <c r="F9" s="167">
        <f>'Valor médio gasolina comum'!C24</f>
        <v>7.2140000000000004</v>
      </c>
    </row>
    <row r="10" spans="1:17" x14ac:dyDescent="0.2">
      <c r="A10" s="226" t="s">
        <v>133</v>
      </c>
      <c r="B10" s="226"/>
      <c r="C10" s="226"/>
      <c r="D10" s="226"/>
      <c r="E10" s="226"/>
      <c r="F10" s="165">
        <v>10</v>
      </c>
    </row>
    <row r="11" spans="1:17" s="54" customFormat="1" ht="11.25" x14ac:dyDescent="0.2">
      <c r="A11" s="226" t="s">
        <v>134</v>
      </c>
      <c r="B11" s="226"/>
      <c r="C11" s="226"/>
      <c r="D11" s="226"/>
      <c r="E11" s="226"/>
      <c r="F11" s="168">
        <f>'Valor diarias de hotel e alimen'!C13</f>
        <v>200</v>
      </c>
      <c r="G11" s="53"/>
      <c r="H11" s="53"/>
      <c r="I11" s="53"/>
      <c r="J11" s="53"/>
      <c r="N11" s="46"/>
      <c r="O11" s="46"/>
      <c r="P11" s="55"/>
      <c r="Q11" s="56"/>
    </row>
    <row r="13" spans="1:17" x14ac:dyDescent="0.2">
      <c r="A13" s="62"/>
      <c r="B13" s="62"/>
      <c r="C13" s="62"/>
    </row>
    <row r="14" spans="1:17" x14ac:dyDescent="0.2">
      <c r="A14" s="62"/>
      <c r="B14" s="62"/>
      <c r="C14" s="62"/>
    </row>
    <row r="15" spans="1:17" s="73" customFormat="1" ht="112.5" x14ac:dyDescent="0.2">
      <c r="A15" s="63" t="s">
        <v>135</v>
      </c>
      <c r="B15" s="121" t="s">
        <v>158</v>
      </c>
      <c r="C15" s="64" t="s">
        <v>137</v>
      </c>
      <c r="D15" s="65" t="s">
        <v>138</v>
      </c>
      <c r="E15" s="122" t="s">
        <v>162</v>
      </c>
      <c r="F15" s="67" t="s">
        <v>140</v>
      </c>
      <c r="G15" s="68" t="s">
        <v>141</v>
      </c>
      <c r="H15" s="68" t="s">
        <v>142</v>
      </c>
      <c r="I15" s="68" t="s">
        <v>143</v>
      </c>
      <c r="J15" s="64" t="s">
        <v>144</v>
      </c>
      <c r="K15" s="64" t="s">
        <v>145</v>
      </c>
      <c r="L15" s="64" t="s">
        <v>146</v>
      </c>
      <c r="M15" s="64" t="s">
        <v>147</v>
      </c>
      <c r="N15" s="69" t="s">
        <v>148</v>
      </c>
      <c r="O15" s="70" t="s">
        <v>149</v>
      </c>
      <c r="P15" s="71"/>
      <c r="Q15" s="72" t="s">
        <v>150</v>
      </c>
    </row>
    <row r="16" spans="1:17" s="83" customFormat="1" ht="11.25" x14ac:dyDescent="0.2">
      <c r="A16" s="74" t="s">
        <v>151</v>
      </c>
      <c r="B16" s="75" t="s">
        <v>151</v>
      </c>
      <c r="C16" s="75" t="s">
        <v>152</v>
      </c>
      <c r="D16" s="76" t="s">
        <v>153</v>
      </c>
      <c r="E16" s="77" t="s">
        <v>153</v>
      </c>
      <c r="F16" s="78" t="s">
        <v>153</v>
      </c>
      <c r="G16" s="76" t="s">
        <v>154</v>
      </c>
      <c r="H16" s="76" t="s">
        <v>155</v>
      </c>
      <c r="I16" s="75" t="s">
        <v>155</v>
      </c>
      <c r="J16" s="75" t="s">
        <v>156</v>
      </c>
      <c r="K16" s="75" t="s">
        <v>156</v>
      </c>
      <c r="L16" s="75" t="s">
        <v>156</v>
      </c>
      <c r="M16" s="75" t="s">
        <v>156</v>
      </c>
      <c r="N16" s="79">
        <f>arqeng!C127</f>
        <v>0.26240558292282423</v>
      </c>
      <c r="O16" s="80" t="s">
        <v>156</v>
      </c>
      <c r="P16" s="81"/>
      <c r="Q16" s="82"/>
    </row>
    <row r="17" spans="1:18" s="83" customFormat="1" ht="11.25" x14ac:dyDescent="0.2">
      <c r="A17" s="84">
        <v>200</v>
      </c>
      <c r="B17" s="124">
        <v>60</v>
      </c>
      <c r="C17" s="86">
        <f t="shared" ref="C17:C43" si="0">((A17+B17)/10)</f>
        <v>26</v>
      </c>
      <c r="D17" s="87">
        <f t="shared" ref="D17:D43" si="1">((A17+B17)/80)</f>
        <v>3.25</v>
      </c>
      <c r="E17" s="125">
        <v>12</v>
      </c>
      <c r="F17" s="89">
        <f t="shared" ref="F17:F43" si="2">D17+E17</f>
        <v>15.25</v>
      </c>
      <c r="G17" s="90">
        <f t="shared" ref="G17:G43" si="3">F17/9</f>
        <v>1.6944444444444444</v>
      </c>
      <c r="H17" s="123">
        <f t="shared" ref="H17:H43" si="4">ROUNDUP(G17,0)</f>
        <v>2</v>
      </c>
      <c r="I17" s="92">
        <f t="shared" ref="I17:I43" si="5">H17-0.5</f>
        <v>1.5</v>
      </c>
      <c r="J17" s="93">
        <f t="shared" ref="J17:J43" si="6">C17*$F$9</f>
        <v>187.56400000000002</v>
      </c>
      <c r="K17" s="94">
        <f t="shared" ref="K17:K43" si="7">H17*$F$7</f>
        <v>180</v>
      </c>
      <c r="L17" s="94">
        <f t="shared" ref="L17:L43" si="8">(I17*$F$11)*1</f>
        <v>300</v>
      </c>
      <c r="M17" s="95">
        <f t="shared" ref="M17:M43" si="9">J17+K17+L17</f>
        <v>667.56400000000008</v>
      </c>
      <c r="N17" s="93">
        <f t="shared" ref="N17:N43" si="10">M17*$N$16</f>
        <v>175.17252055829226</v>
      </c>
      <c r="O17" s="96">
        <f t="shared" ref="O17:O43" si="11">M17+N17</f>
        <v>842.73652055829234</v>
      </c>
      <c r="P17" s="71">
        <v>1</v>
      </c>
      <c r="Q17" s="97">
        <f t="shared" ref="Q17:Q43" si="12">O17/H17</f>
        <v>421.36826027914617</v>
      </c>
      <c r="R17" s="98"/>
    </row>
    <row r="18" spans="1:18" s="73" customFormat="1" ht="11.25" x14ac:dyDescent="0.2">
      <c r="A18" s="84">
        <v>300</v>
      </c>
      <c r="B18" s="124">
        <v>60</v>
      </c>
      <c r="C18" s="86">
        <f t="shared" si="0"/>
        <v>36</v>
      </c>
      <c r="D18" s="87">
        <f t="shared" si="1"/>
        <v>4.5</v>
      </c>
      <c r="E18" s="125">
        <v>12</v>
      </c>
      <c r="F18" s="89">
        <f t="shared" si="2"/>
        <v>16.5</v>
      </c>
      <c r="G18" s="90">
        <f t="shared" si="3"/>
        <v>1.8333333333333333</v>
      </c>
      <c r="H18" s="123">
        <f t="shared" si="4"/>
        <v>2</v>
      </c>
      <c r="I18" s="92">
        <f t="shared" si="5"/>
        <v>1.5</v>
      </c>
      <c r="J18" s="93">
        <f t="shared" si="6"/>
        <v>259.70400000000001</v>
      </c>
      <c r="K18" s="94">
        <f t="shared" si="7"/>
        <v>180</v>
      </c>
      <c r="L18" s="94">
        <f t="shared" si="8"/>
        <v>300</v>
      </c>
      <c r="M18" s="95">
        <f t="shared" si="9"/>
        <v>739.70399999999995</v>
      </c>
      <c r="N18" s="93">
        <f t="shared" si="10"/>
        <v>194.10245931034476</v>
      </c>
      <c r="O18" s="96">
        <f t="shared" si="11"/>
        <v>933.80645931034474</v>
      </c>
      <c r="P18" s="71">
        <v>2</v>
      </c>
      <c r="Q18" s="97">
        <f t="shared" si="12"/>
        <v>466.90322965517237</v>
      </c>
      <c r="R18" s="99"/>
    </row>
    <row r="19" spans="1:18" s="73" customFormat="1" ht="11.25" x14ac:dyDescent="0.2">
      <c r="A19" s="84">
        <v>400</v>
      </c>
      <c r="B19" s="124">
        <v>60</v>
      </c>
      <c r="C19" s="86">
        <f t="shared" si="0"/>
        <v>46</v>
      </c>
      <c r="D19" s="87">
        <f t="shared" si="1"/>
        <v>5.75</v>
      </c>
      <c r="E19" s="125">
        <v>12</v>
      </c>
      <c r="F19" s="89">
        <f t="shared" si="2"/>
        <v>17.75</v>
      </c>
      <c r="G19" s="90">
        <f t="shared" si="3"/>
        <v>1.9722222222222223</v>
      </c>
      <c r="H19" s="123">
        <f t="shared" si="4"/>
        <v>2</v>
      </c>
      <c r="I19" s="92">
        <f t="shared" si="5"/>
        <v>1.5</v>
      </c>
      <c r="J19" s="93">
        <f t="shared" si="6"/>
        <v>331.84399999999999</v>
      </c>
      <c r="K19" s="94">
        <f t="shared" si="7"/>
        <v>180</v>
      </c>
      <c r="L19" s="94">
        <f t="shared" si="8"/>
        <v>300</v>
      </c>
      <c r="M19" s="95">
        <f t="shared" si="9"/>
        <v>811.84400000000005</v>
      </c>
      <c r="N19" s="93">
        <f t="shared" si="10"/>
        <v>213.03239806239733</v>
      </c>
      <c r="O19" s="96">
        <f t="shared" si="11"/>
        <v>1024.8763980623974</v>
      </c>
      <c r="P19" s="71">
        <v>3</v>
      </c>
      <c r="Q19" s="97">
        <f t="shared" si="12"/>
        <v>512.43819903119868</v>
      </c>
      <c r="R19" s="98"/>
    </row>
    <row r="20" spans="1:18" s="73" customFormat="1" ht="11.25" x14ac:dyDescent="0.2">
      <c r="A20" s="84">
        <v>500</v>
      </c>
      <c r="B20" s="124">
        <v>60</v>
      </c>
      <c r="C20" s="86">
        <f t="shared" si="0"/>
        <v>56</v>
      </c>
      <c r="D20" s="87">
        <f t="shared" si="1"/>
        <v>7</v>
      </c>
      <c r="E20" s="125">
        <v>12</v>
      </c>
      <c r="F20" s="89">
        <f t="shared" si="2"/>
        <v>19</v>
      </c>
      <c r="G20" s="90">
        <f t="shared" si="3"/>
        <v>2.1111111111111112</v>
      </c>
      <c r="H20" s="123">
        <f t="shared" si="4"/>
        <v>3</v>
      </c>
      <c r="I20" s="92">
        <f t="shared" si="5"/>
        <v>2.5</v>
      </c>
      <c r="J20" s="93">
        <f t="shared" si="6"/>
        <v>403.98400000000004</v>
      </c>
      <c r="K20" s="94">
        <f t="shared" si="7"/>
        <v>270</v>
      </c>
      <c r="L20" s="94">
        <f t="shared" si="8"/>
        <v>500</v>
      </c>
      <c r="M20" s="95">
        <f t="shared" si="9"/>
        <v>1173.9839999999999</v>
      </c>
      <c r="N20" s="93">
        <f t="shared" si="10"/>
        <v>308.05995586206888</v>
      </c>
      <c r="O20" s="96">
        <f t="shared" si="11"/>
        <v>1482.0439558620687</v>
      </c>
      <c r="P20" s="71">
        <v>4</v>
      </c>
      <c r="Q20" s="97">
        <f t="shared" si="12"/>
        <v>494.0146519540229</v>
      </c>
      <c r="R20" s="98"/>
    </row>
    <row r="21" spans="1:18" s="73" customFormat="1" ht="11.25" x14ac:dyDescent="0.2">
      <c r="A21" s="84">
        <v>600</v>
      </c>
      <c r="B21" s="124">
        <v>60</v>
      </c>
      <c r="C21" s="86">
        <f t="shared" si="0"/>
        <v>66</v>
      </c>
      <c r="D21" s="87">
        <f t="shared" si="1"/>
        <v>8.25</v>
      </c>
      <c r="E21" s="125">
        <v>12</v>
      </c>
      <c r="F21" s="89">
        <f t="shared" si="2"/>
        <v>20.25</v>
      </c>
      <c r="G21" s="90">
        <f t="shared" si="3"/>
        <v>2.25</v>
      </c>
      <c r="H21" s="123">
        <f t="shared" si="4"/>
        <v>3</v>
      </c>
      <c r="I21" s="92">
        <f t="shared" si="5"/>
        <v>2.5</v>
      </c>
      <c r="J21" s="93">
        <f t="shared" si="6"/>
        <v>476.12400000000002</v>
      </c>
      <c r="K21" s="94">
        <f t="shared" si="7"/>
        <v>270</v>
      </c>
      <c r="L21" s="94">
        <f t="shared" si="8"/>
        <v>500</v>
      </c>
      <c r="M21" s="95">
        <f t="shared" si="9"/>
        <v>1246.124</v>
      </c>
      <c r="N21" s="93">
        <f t="shared" si="10"/>
        <v>326.98989461412145</v>
      </c>
      <c r="O21" s="96">
        <f t="shared" si="11"/>
        <v>1573.1138946141214</v>
      </c>
      <c r="P21" s="71">
        <v>5</v>
      </c>
      <c r="Q21" s="97">
        <f t="shared" si="12"/>
        <v>524.37129820470716</v>
      </c>
      <c r="R21" s="98"/>
    </row>
    <row r="22" spans="1:18" s="73" customFormat="1" ht="11.25" x14ac:dyDescent="0.2">
      <c r="A22" s="84">
        <v>700</v>
      </c>
      <c r="B22" s="124">
        <v>60</v>
      </c>
      <c r="C22" s="86">
        <f t="shared" si="0"/>
        <v>76</v>
      </c>
      <c r="D22" s="87">
        <f t="shared" si="1"/>
        <v>9.5</v>
      </c>
      <c r="E22" s="125">
        <v>12</v>
      </c>
      <c r="F22" s="89">
        <f t="shared" si="2"/>
        <v>21.5</v>
      </c>
      <c r="G22" s="90">
        <f t="shared" si="3"/>
        <v>2.3888888888888888</v>
      </c>
      <c r="H22" s="123">
        <f t="shared" si="4"/>
        <v>3</v>
      </c>
      <c r="I22" s="92">
        <f t="shared" si="5"/>
        <v>2.5</v>
      </c>
      <c r="J22" s="93">
        <f t="shared" si="6"/>
        <v>548.26400000000001</v>
      </c>
      <c r="K22" s="94">
        <f t="shared" si="7"/>
        <v>270</v>
      </c>
      <c r="L22" s="94">
        <f t="shared" si="8"/>
        <v>500</v>
      </c>
      <c r="M22" s="95">
        <f t="shared" si="9"/>
        <v>1318.2640000000001</v>
      </c>
      <c r="N22" s="93">
        <f t="shared" si="10"/>
        <v>345.91983336617398</v>
      </c>
      <c r="O22" s="96">
        <f t="shared" si="11"/>
        <v>1664.183833366174</v>
      </c>
      <c r="P22" s="71">
        <v>6</v>
      </c>
      <c r="Q22" s="97">
        <f t="shared" si="12"/>
        <v>554.72794445539137</v>
      </c>
      <c r="R22" s="98"/>
    </row>
    <row r="23" spans="1:18" s="73" customFormat="1" ht="11.25" x14ac:dyDescent="0.2">
      <c r="A23" s="84">
        <v>800</v>
      </c>
      <c r="B23" s="124">
        <v>60</v>
      </c>
      <c r="C23" s="86">
        <f t="shared" si="0"/>
        <v>86</v>
      </c>
      <c r="D23" s="87">
        <f t="shared" si="1"/>
        <v>10.75</v>
      </c>
      <c r="E23" s="125">
        <v>12</v>
      </c>
      <c r="F23" s="89">
        <f t="shared" si="2"/>
        <v>22.75</v>
      </c>
      <c r="G23" s="90">
        <f t="shared" si="3"/>
        <v>2.5277777777777777</v>
      </c>
      <c r="H23" s="123">
        <f t="shared" si="4"/>
        <v>3</v>
      </c>
      <c r="I23" s="92">
        <f t="shared" si="5"/>
        <v>2.5</v>
      </c>
      <c r="J23" s="93">
        <f t="shared" si="6"/>
        <v>620.404</v>
      </c>
      <c r="K23" s="94">
        <f t="shared" si="7"/>
        <v>270</v>
      </c>
      <c r="L23" s="94">
        <f t="shared" si="8"/>
        <v>500</v>
      </c>
      <c r="M23" s="95">
        <f t="shared" si="9"/>
        <v>1390.404</v>
      </c>
      <c r="N23" s="93">
        <f t="shared" si="10"/>
        <v>364.8497721182265</v>
      </c>
      <c r="O23" s="96">
        <f t="shared" si="11"/>
        <v>1755.2537721182266</v>
      </c>
      <c r="P23" s="71">
        <v>7</v>
      </c>
      <c r="Q23" s="97">
        <f t="shared" si="12"/>
        <v>585.08459070607557</v>
      </c>
      <c r="R23" s="98"/>
    </row>
    <row r="24" spans="1:18" s="73" customFormat="1" ht="11.25" x14ac:dyDescent="0.2">
      <c r="A24" s="84">
        <v>900</v>
      </c>
      <c r="B24" s="124">
        <v>60</v>
      </c>
      <c r="C24" s="86">
        <f t="shared" si="0"/>
        <v>96</v>
      </c>
      <c r="D24" s="87">
        <f t="shared" si="1"/>
        <v>12</v>
      </c>
      <c r="E24" s="125">
        <v>12</v>
      </c>
      <c r="F24" s="89">
        <f t="shared" si="2"/>
        <v>24</v>
      </c>
      <c r="G24" s="90">
        <f t="shared" si="3"/>
        <v>2.6666666666666665</v>
      </c>
      <c r="H24" s="123">
        <f t="shared" si="4"/>
        <v>3</v>
      </c>
      <c r="I24" s="92">
        <f t="shared" si="5"/>
        <v>2.5</v>
      </c>
      <c r="J24" s="93">
        <f t="shared" si="6"/>
        <v>692.5440000000001</v>
      </c>
      <c r="K24" s="94">
        <f t="shared" si="7"/>
        <v>270</v>
      </c>
      <c r="L24" s="94">
        <f t="shared" si="8"/>
        <v>500</v>
      </c>
      <c r="M24" s="95">
        <f t="shared" si="9"/>
        <v>1462.5440000000001</v>
      </c>
      <c r="N24" s="93">
        <f t="shared" si="10"/>
        <v>383.77971087027908</v>
      </c>
      <c r="O24" s="96">
        <f t="shared" si="11"/>
        <v>1846.3237108702792</v>
      </c>
      <c r="P24" s="71">
        <v>8</v>
      </c>
      <c r="Q24" s="97">
        <f t="shared" si="12"/>
        <v>615.44123695675978</v>
      </c>
      <c r="R24" s="98"/>
    </row>
    <row r="25" spans="1:18" s="73" customFormat="1" ht="11.25" x14ac:dyDescent="0.2">
      <c r="A25" s="84">
        <v>1000</v>
      </c>
      <c r="B25" s="124">
        <v>60</v>
      </c>
      <c r="C25" s="86">
        <f t="shared" si="0"/>
        <v>106</v>
      </c>
      <c r="D25" s="87">
        <f t="shared" si="1"/>
        <v>13.25</v>
      </c>
      <c r="E25" s="125">
        <v>12</v>
      </c>
      <c r="F25" s="89">
        <f t="shared" si="2"/>
        <v>25.25</v>
      </c>
      <c r="G25" s="90">
        <f t="shared" si="3"/>
        <v>2.8055555555555554</v>
      </c>
      <c r="H25" s="123">
        <f t="shared" si="4"/>
        <v>3</v>
      </c>
      <c r="I25" s="92">
        <f t="shared" si="5"/>
        <v>2.5</v>
      </c>
      <c r="J25" s="93">
        <f t="shared" si="6"/>
        <v>764.68400000000008</v>
      </c>
      <c r="K25" s="94">
        <f t="shared" si="7"/>
        <v>270</v>
      </c>
      <c r="L25" s="94">
        <f t="shared" si="8"/>
        <v>500</v>
      </c>
      <c r="M25" s="95">
        <f t="shared" si="9"/>
        <v>1534.6840000000002</v>
      </c>
      <c r="N25" s="93">
        <f t="shared" si="10"/>
        <v>402.70964962233165</v>
      </c>
      <c r="O25" s="96">
        <f t="shared" si="11"/>
        <v>1937.3936496223318</v>
      </c>
      <c r="P25" s="71">
        <v>9</v>
      </c>
      <c r="Q25" s="97">
        <f t="shared" si="12"/>
        <v>645.79788320744399</v>
      </c>
      <c r="R25" s="98"/>
    </row>
    <row r="26" spans="1:18" s="73" customFormat="1" ht="11.25" x14ac:dyDescent="0.2">
      <c r="A26" s="84">
        <v>1100</v>
      </c>
      <c r="B26" s="124">
        <v>60</v>
      </c>
      <c r="C26" s="86">
        <f t="shared" si="0"/>
        <v>116</v>
      </c>
      <c r="D26" s="87">
        <f t="shared" si="1"/>
        <v>14.5</v>
      </c>
      <c r="E26" s="125">
        <v>12</v>
      </c>
      <c r="F26" s="89">
        <f t="shared" si="2"/>
        <v>26.5</v>
      </c>
      <c r="G26" s="90">
        <f t="shared" si="3"/>
        <v>2.9444444444444446</v>
      </c>
      <c r="H26" s="123">
        <f t="shared" si="4"/>
        <v>3</v>
      </c>
      <c r="I26" s="92">
        <f t="shared" si="5"/>
        <v>2.5</v>
      </c>
      <c r="J26" s="93">
        <f t="shared" si="6"/>
        <v>836.82400000000007</v>
      </c>
      <c r="K26" s="94">
        <f t="shared" si="7"/>
        <v>270</v>
      </c>
      <c r="L26" s="94">
        <f t="shared" si="8"/>
        <v>500</v>
      </c>
      <c r="M26" s="95">
        <f t="shared" si="9"/>
        <v>1606.8240000000001</v>
      </c>
      <c r="N26" s="93">
        <f t="shared" si="10"/>
        <v>421.63958837438412</v>
      </c>
      <c r="O26" s="96">
        <f t="shared" si="11"/>
        <v>2028.4635883743842</v>
      </c>
      <c r="P26" s="71">
        <v>10</v>
      </c>
      <c r="Q26" s="97">
        <f t="shared" si="12"/>
        <v>676.15452945812808</v>
      </c>
      <c r="R26" s="98"/>
    </row>
    <row r="27" spans="1:18" s="73" customFormat="1" ht="11.25" x14ac:dyDescent="0.2">
      <c r="A27" s="84">
        <v>1200</v>
      </c>
      <c r="B27" s="124">
        <v>60</v>
      </c>
      <c r="C27" s="86">
        <f t="shared" si="0"/>
        <v>126</v>
      </c>
      <c r="D27" s="87">
        <f t="shared" si="1"/>
        <v>15.75</v>
      </c>
      <c r="E27" s="125">
        <v>12</v>
      </c>
      <c r="F27" s="89">
        <f t="shared" si="2"/>
        <v>27.75</v>
      </c>
      <c r="G27" s="90">
        <f t="shared" si="3"/>
        <v>3.0833333333333335</v>
      </c>
      <c r="H27" s="123">
        <f t="shared" si="4"/>
        <v>4</v>
      </c>
      <c r="I27" s="92">
        <f t="shared" si="5"/>
        <v>3.5</v>
      </c>
      <c r="J27" s="93">
        <f t="shared" si="6"/>
        <v>908.96400000000006</v>
      </c>
      <c r="K27" s="94">
        <f t="shared" si="7"/>
        <v>360</v>
      </c>
      <c r="L27" s="94">
        <f t="shared" si="8"/>
        <v>700</v>
      </c>
      <c r="M27" s="95">
        <f t="shared" si="9"/>
        <v>1968.9639999999999</v>
      </c>
      <c r="N27" s="93">
        <f t="shared" si="10"/>
        <v>516.66714617405569</v>
      </c>
      <c r="O27" s="96">
        <f t="shared" si="11"/>
        <v>2485.6311461740556</v>
      </c>
      <c r="P27" s="71">
        <v>11</v>
      </c>
      <c r="Q27" s="97">
        <f t="shared" si="12"/>
        <v>621.40778654351391</v>
      </c>
      <c r="R27" s="98"/>
    </row>
    <row r="28" spans="1:18" s="73" customFormat="1" ht="11.25" x14ac:dyDescent="0.2">
      <c r="A28" s="84">
        <v>1300</v>
      </c>
      <c r="B28" s="124">
        <v>60</v>
      </c>
      <c r="C28" s="86">
        <f t="shared" si="0"/>
        <v>136</v>
      </c>
      <c r="D28" s="87">
        <f t="shared" si="1"/>
        <v>17</v>
      </c>
      <c r="E28" s="125">
        <v>12</v>
      </c>
      <c r="F28" s="89">
        <f t="shared" si="2"/>
        <v>29</v>
      </c>
      <c r="G28" s="90">
        <f t="shared" si="3"/>
        <v>3.2222222222222223</v>
      </c>
      <c r="H28" s="123">
        <f t="shared" si="4"/>
        <v>4</v>
      </c>
      <c r="I28" s="92">
        <f t="shared" si="5"/>
        <v>3.5</v>
      </c>
      <c r="J28" s="93">
        <f t="shared" si="6"/>
        <v>981.10400000000004</v>
      </c>
      <c r="K28" s="94">
        <f t="shared" si="7"/>
        <v>360</v>
      </c>
      <c r="L28" s="94">
        <f t="shared" si="8"/>
        <v>700</v>
      </c>
      <c r="M28" s="95">
        <f t="shared" si="9"/>
        <v>2041.104</v>
      </c>
      <c r="N28" s="93">
        <f t="shared" si="10"/>
        <v>535.59708492610821</v>
      </c>
      <c r="O28" s="96">
        <f t="shared" si="11"/>
        <v>2576.7010849261083</v>
      </c>
      <c r="P28" s="71">
        <v>12</v>
      </c>
      <c r="Q28" s="97">
        <f t="shared" si="12"/>
        <v>644.17527123152706</v>
      </c>
      <c r="R28" s="98"/>
    </row>
    <row r="29" spans="1:18" s="73" customFormat="1" ht="11.25" x14ac:dyDescent="0.2">
      <c r="A29" s="84">
        <v>1400</v>
      </c>
      <c r="B29" s="124">
        <v>60</v>
      </c>
      <c r="C29" s="86">
        <f t="shared" si="0"/>
        <v>146</v>
      </c>
      <c r="D29" s="87">
        <f t="shared" si="1"/>
        <v>18.25</v>
      </c>
      <c r="E29" s="125">
        <v>12</v>
      </c>
      <c r="F29" s="89">
        <f t="shared" si="2"/>
        <v>30.25</v>
      </c>
      <c r="G29" s="90">
        <f t="shared" si="3"/>
        <v>3.3611111111111112</v>
      </c>
      <c r="H29" s="123">
        <f t="shared" si="4"/>
        <v>4</v>
      </c>
      <c r="I29" s="92">
        <f t="shared" si="5"/>
        <v>3.5</v>
      </c>
      <c r="J29" s="93">
        <f t="shared" si="6"/>
        <v>1053.2440000000001</v>
      </c>
      <c r="K29" s="94">
        <f t="shared" si="7"/>
        <v>360</v>
      </c>
      <c r="L29" s="94">
        <f t="shared" si="8"/>
        <v>700</v>
      </c>
      <c r="M29" s="95">
        <f t="shared" si="9"/>
        <v>2113.2440000000001</v>
      </c>
      <c r="N29" s="93">
        <f t="shared" si="10"/>
        <v>554.52702367816084</v>
      </c>
      <c r="O29" s="96">
        <f t="shared" si="11"/>
        <v>2667.7710236781609</v>
      </c>
      <c r="P29" s="71">
        <v>13</v>
      </c>
      <c r="Q29" s="97">
        <f t="shared" si="12"/>
        <v>666.94275591954022</v>
      </c>
      <c r="R29" s="98"/>
    </row>
    <row r="30" spans="1:18" s="73" customFormat="1" ht="11.25" x14ac:dyDescent="0.2">
      <c r="A30" s="84">
        <v>1500</v>
      </c>
      <c r="B30" s="124">
        <v>60</v>
      </c>
      <c r="C30" s="86">
        <f t="shared" si="0"/>
        <v>156</v>
      </c>
      <c r="D30" s="87">
        <f t="shared" si="1"/>
        <v>19.5</v>
      </c>
      <c r="E30" s="125">
        <v>12</v>
      </c>
      <c r="F30" s="89">
        <f t="shared" si="2"/>
        <v>31.5</v>
      </c>
      <c r="G30" s="90">
        <f t="shared" si="3"/>
        <v>3.5</v>
      </c>
      <c r="H30" s="123">
        <f t="shared" si="4"/>
        <v>4</v>
      </c>
      <c r="I30" s="92">
        <f t="shared" si="5"/>
        <v>3.5</v>
      </c>
      <c r="J30" s="93">
        <f t="shared" si="6"/>
        <v>1125.384</v>
      </c>
      <c r="K30" s="94">
        <f t="shared" si="7"/>
        <v>360</v>
      </c>
      <c r="L30" s="94">
        <f t="shared" si="8"/>
        <v>700</v>
      </c>
      <c r="M30" s="95">
        <f t="shared" si="9"/>
        <v>2185.384</v>
      </c>
      <c r="N30" s="93">
        <f t="shared" si="10"/>
        <v>573.45696243021337</v>
      </c>
      <c r="O30" s="96">
        <f t="shared" si="11"/>
        <v>2758.8409624302135</v>
      </c>
      <c r="P30" s="71">
        <v>14</v>
      </c>
      <c r="Q30" s="97">
        <f t="shared" si="12"/>
        <v>689.71024060755337</v>
      </c>
      <c r="R30" s="98"/>
    </row>
    <row r="31" spans="1:18" s="73" customFormat="1" ht="11.25" x14ac:dyDescent="0.2">
      <c r="A31" s="84">
        <v>1600</v>
      </c>
      <c r="B31" s="124">
        <v>60</v>
      </c>
      <c r="C31" s="86">
        <f t="shared" si="0"/>
        <v>166</v>
      </c>
      <c r="D31" s="87">
        <f t="shared" si="1"/>
        <v>20.75</v>
      </c>
      <c r="E31" s="125">
        <v>12</v>
      </c>
      <c r="F31" s="89">
        <f t="shared" si="2"/>
        <v>32.75</v>
      </c>
      <c r="G31" s="90">
        <f t="shared" si="3"/>
        <v>3.6388888888888888</v>
      </c>
      <c r="H31" s="123">
        <f t="shared" si="4"/>
        <v>4</v>
      </c>
      <c r="I31" s="92">
        <f t="shared" si="5"/>
        <v>3.5</v>
      </c>
      <c r="J31" s="93">
        <f t="shared" si="6"/>
        <v>1197.5240000000001</v>
      </c>
      <c r="K31" s="94">
        <f t="shared" si="7"/>
        <v>360</v>
      </c>
      <c r="L31" s="94">
        <f t="shared" si="8"/>
        <v>700</v>
      </c>
      <c r="M31" s="95">
        <f t="shared" si="9"/>
        <v>2257.5240000000003</v>
      </c>
      <c r="N31" s="93">
        <f t="shared" si="10"/>
        <v>592.38690118226589</v>
      </c>
      <c r="O31" s="96">
        <f t="shared" si="11"/>
        <v>2849.9109011822661</v>
      </c>
      <c r="P31" s="71">
        <v>15</v>
      </c>
      <c r="Q31" s="97">
        <f t="shared" si="12"/>
        <v>712.47772529556653</v>
      </c>
      <c r="R31" s="98"/>
    </row>
    <row r="32" spans="1:18" s="73" customFormat="1" ht="11.25" x14ac:dyDescent="0.2">
      <c r="A32" s="84">
        <v>1700</v>
      </c>
      <c r="B32" s="124">
        <v>60</v>
      </c>
      <c r="C32" s="86">
        <f t="shared" si="0"/>
        <v>176</v>
      </c>
      <c r="D32" s="87">
        <f t="shared" si="1"/>
        <v>22</v>
      </c>
      <c r="E32" s="125">
        <v>12</v>
      </c>
      <c r="F32" s="89">
        <f t="shared" si="2"/>
        <v>34</v>
      </c>
      <c r="G32" s="90">
        <f t="shared" si="3"/>
        <v>3.7777777777777777</v>
      </c>
      <c r="H32" s="123">
        <f t="shared" si="4"/>
        <v>4</v>
      </c>
      <c r="I32" s="92">
        <f t="shared" si="5"/>
        <v>3.5</v>
      </c>
      <c r="J32" s="93">
        <f t="shared" si="6"/>
        <v>1269.664</v>
      </c>
      <c r="K32" s="94">
        <f t="shared" si="7"/>
        <v>360</v>
      </c>
      <c r="L32" s="94">
        <f t="shared" si="8"/>
        <v>700</v>
      </c>
      <c r="M32" s="95">
        <f t="shared" si="9"/>
        <v>2329.6639999999998</v>
      </c>
      <c r="N32" s="93">
        <f t="shared" si="10"/>
        <v>611.3168399343183</v>
      </c>
      <c r="O32" s="96">
        <f t="shared" si="11"/>
        <v>2940.9808399343183</v>
      </c>
      <c r="P32" s="71">
        <v>16</v>
      </c>
      <c r="Q32" s="97">
        <f t="shared" si="12"/>
        <v>735.24520998357957</v>
      </c>
      <c r="R32" s="98"/>
    </row>
    <row r="33" spans="1:18" s="73" customFormat="1" ht="11.25" x14ac:dyDescent="0.2">
      <c r="A33" s="84">
        <v>1800</v>
      </c>
      <c r="B33" s="124">
        <v>60</v>
      </c>
      <c r="C33" s="86">
        <f t="shared" si="0"/>
        <v>186</v>
      </c>
      <c r="D33" s="87">
        <f t="shared" si="1"/>
        <v>23.25</v>
      </c>
      <c r="E33" s="125">
        <v>12</v>
      </c>
      <c r="F33" s="89">
        <f t="shared" si="2"/>
        <v>35.25</v>
      </c>
      <c r="G33" s="90">
        <f t="shared" si="3"/>
        <v>3.9166666666666665</v>
      </c>
      <c r="H33" s="123">
        <f t="shared" si="4"/>
        <v>4</v>
      </c>
      <c r="I33" s="92">
        <f t="shared" si="5"/>
        <v>3.5</v>
      </c>
      <c r="J33" s="93">
        <f t="shared" si="6"/>
        <v>1341.8040000000001</v>
      </c>
      <c r="K33" s="94">
        <f t="shared" si="7"/>
        <v>360</v>
      </c>
      <c r="L33" s="94">
        <f t="shared" si="8"/>
        <v>700</v>
      </c>
      <c r="M33" s="95">
        <f t="shared" si="9"/>
        <v>2401.8040000000001</v>
      </c>
      <c r="N33" s="93">
        <f t="shared" si="10"/>
        <v>630.24677868637093</v>
      </c>
      <c r="O33" s="96">
        <f t="shared" si="11"/>
        <v>3032.0507786863709</v>
      </c>
      <c r="P33" s="71">
        <v>17</v>
      </c>
      <c r="Q33" s="97">
        <f t="shared" si="12"/>
        <v>758.01269467159273</v>
      </c>
      <c r="R33" s="98"/>
    </row>
    <row r="34" spans="1:18" s="73" customFormat="1" ht="11.25" x14ac:dyDescent="0.2">
      <c r="A34" s="84">
        <v>1900</v>
      </c>
      <c r="B34" s="124">
        <v>60</v>
      </c>
      <c r="C34" s="86">
        <f t="shared" si="0"/>
        <v>196</v>
      </c>
      <c r="D34" s="87">
        <f t="shared" si="1"/>
        <v>24.5</v>
      </c>
      <c r="E34" s="125">
        <v>12</v>
      </c>
      <c r="F34" s="89">
        <f t="shared" si="2"/>
        <v>36.5</v>
      </c>
      <c r="G34" s="90">
        <f t="shared" si="3"/>
        <v>4.0555555555555554</v>
      </c>
      <c r="H34" s="123">
        <f t="shared" si="4"/>
        <v>5</v>
      </c>
      <c r="I34" s="92">
        <f t="shared" si="5"/>
        <v>4.5</v>
      </c>
      <c r="J34" s="93">
        <f t="shared" si="6"/>
        <v>1413.9440000000002</v>
      </c>
      <c r="K34" s="94">
        <f t="shared" si="7"/>
        <v>450</v>
      </c>
      <c r="L34" s="94">
        <f t="shared" si="8"/>
        <v>900</v>
      </c>
      <c r="M34" s="95">
        <f t="shared" si="9"/>
        <v>2763.9440000000004</v>
      </c>
      <c r="N34" s="93">
        <f t="shared" si="10"/>
        <v>725.27433648604256</v>
      </c>
      <c r="O34" s="96">
        <f t="shared" si="11"/>
        <v>3489.218336486043</v>
      </c>
      <c r="P34" s="71">
        <v>18</v>
      </c>
      <c r="Q34" s="97">
        <f t="shared" si="12"/>
        <v>697.84366729720864</v>
      </c>
      <c r="R34" s="98"/>
    </row>
    <row r="35" spans="1:18" s="73" customFormat="1" ht="11.25" x14ac:dyDescent="0.2">
      <c r="A35" s="84">
        <v>2000</v>
      </c>
      <c r="B35" s="124">
        <v>60</v>
      </c>
      <c r="C35" s="86">
        <f t="shared" si="0"/>
        <v>206</v>
      </c>
      <c r="D35" s="87">
        <f t="shared" si="1"/>
        <v>25.75</v>
      </c>
      <c r="E35" s="125">
        <v>12</v>
      </c>
      <c r="F35" s="89">
        <f t="shared" si="2"/>
        <v>37.75</v>
      </c>
      <c r="G35" s="90">
        <f t="shared" si="3"/>
        <v>4.1944444444444446</v>
      </c>
      <c r="H35" s="123">
        <f t="shared" si="4"/>
        <v>5</v>
      </c>
      <c r="I35" s="92">
        <f t="shared" si="5"/>
        <v>4.5</v>
      </c>
      <c r="J35" s="93">
        <f t="shared" si="6"/>
        <v>1486.0840000000001</v>
      </c>
      <c r="K35" s="94">
        <f t="shared" si="7"/>
        <v>450</v>
      </c>
      <c r="L35" s="94">
        <f t="shared" si="8"/>
        <v>900</v>
      </c>
      <c r="M35" s="95">
        <f t="shared" si="9"/>
        <v>2836.0839999999998</v>
      </c>
      <c r="N35" s="93">
        <f t="shared" si="10"/>
        <v>744.20427523809497</v>
      </c>
      <c r="O35" s="96">
        <f t="shared" si="11"/>
        <v>3580.2882752380947</v>
      </c>
      <c r="P35" s="71">
        <v>19</v>
      </c>
      <c r="Q35" s="97">
        <f t="shared" si="12"/>
        <v>716.05765504761894</v>
      </c>
      <c r="R35" s="98"/>
    </row>
    <row r="36" spans="1:18" s="73" customFormat="1" ht="11.25" x14ac:dyDescent="0.2">
      <c r="A36" s="84">
        <v>2100</v>
      </c>
      <c r="B36" s="124">
        <v>60</v>
      </c>
      <c r="C36" s="86">
        <f t="shared" si="0"/>
        <v>216</v>
      </c>
      <c r="D36" s="87">
        <f t="shared" si="1"/>
        <v>27</v>
      </c>
      <c r="E36" s="125">
        <v>12</v>
      </c>
      <c r="F36" s="89">
        <f t="shared" si="2"/>
        <v>39</v>
      </c>
      <c r="G36" s="90">
        <f t="shared" si="3"/>
        <v>4.333333333333333</v>
      </c>
      <c r="H36" s="123">
        <f t="shared" si="4"/>
        <v>5</v>
      </c>
      <c r="I36" s="92">
        <f t="shared" si="5"/>
        <v>4.5</v>
      </c>
      <c r="J36" s="93">
        <f t="shared" si="6"/>
        <v>1558.2240000000002</v>
      </c>
      <c r="K36" s="94">
        <f t="shared" si="7"/>
        <v>450</v>
      </c>
      <c r="L36" s="94">
        <f t="shared" si="8"/>
        <v>900</v>
      </c>
      <c r="M36" s="95">
        <f t="shared" si="9"/>
        <v>2908.2240000000002</v>
      </c>
      <c r="N36" s="93">
        <f t="shared" si="10"/>
        <v>763.1342139901476</v>
      </c>
      <c r="O36" s="96">
        <f t="shared" si="11"/>
        <v>3671.3582139901478</v>
      </c>
      <c r="P36" s="71">
        <v>20</v>
      </c>
      <c r="Q36" s="97">
        <f t="shared" si="12"/>
        <v>734.27164279802957</v>
      </c>
      <c r="R36" s="98"/>
    </row>
    <row r="37" spans="1:18" s="73" customFormat="1" ht="11.25" x14ac:dyDescent="0.2">
      <c r="A37" s="84">
        <v>2200</v>
      </c>
      <c r="B37" s="124">
        <v>60</v>
      </c>
      <c r="C37" s="86">
        <f t="shared" si="0"/>
        <v>226</v>
      </c>
      <c r="D37" s="87">
        <f t="shared" si="1"/>
        <v>28.25</v>
      </c>
      <c r="E37" s="125">
        <v>12</v>
      </c>
      <c r="F37" s="89">
        <f t="shared" si="2"/>
        <v>40.25</v>
      </c>
      <c r="G37" s="90">
        <f t="shared" si="3"/>
        <v>4.4722222222222223</v>
      </c>
      <c r="H37" s="123">
        <f t="shared" si="4"/>
        <v>5</v>
      </c>
      <c r="I37" s="92">
        <f t="shared" si="5"/>
        <v>4.5</v>
      </c>
      <c r="J37" s="93">
        <f t="shared" si="6"/>
        <v>1630.364</v>
      </c>
      <c r="K37" s="94">
        <f t="shared" si="7"/>
        <v>450</v>
      </c>
      <c r="L37" s="94">
        <f t="shared" si="8"/>
        <v>900</v>
      </c>
      <c r="M37" s="95">
        <f t="shared" si="9"/>
        <v>2980.364</v>
      </c>
      <c r="N37" s="93">
        <f t="shared" si="10"/>
        <v>782.06415274220012</v>
      </c>
      <c r="O37" s="96">
        <f t="shared" si="11"/>
        <v>3762.4281527421999</v>
      </c>
      <c r="P37" s="71">
        <v>21</v>
      </c>
      <c r="Q37" s="97">
        <f t="shared" si="12"/>
        <v>752.48563054843999</v>
      </c>
      <c r="R37" s="98"/>
    </row>
    <row r="38" spans="1:18" s="73" customFormat="1" ht="11.25" x14ac:dyDescent="0.2">
      <c r="A38" s="84">
        <v>2300</v>
      </c>
      <c r="B38" s="124">
        <v>60</v>
      </c>
      <c r="C38" s="86">
        <f t="shared" si="0"/>
        <v>236</v>
      </c>
      <c r="D38" s="87">
        <f t="shared" si="1"/>
        <v>29.5</v>
      </c>
      <c r="E38" s="125">
        <v>12</v>
      </c>
      <c r="F38" s="89">
        <f t="shared" si="2"/>
        <v>41.5</v>
      </c>
      <c r="G38" s="90">
        <f t="shared" si="3"/>
        <v>4.6111111111111107</v>
      </c>
      <c r="H38" s="123">
        <f t="shared" si="4"/>
        <v>5</v>
      </c>
      <c r="I38" s="92">
        <f t="shared" si="5"/>
        <v>4.5</v>
      </c>
      <c r="J38" s="93">
        <f t="shared" si="6"/>
        <v>1702.5040000000001</v>
      </c>
      <c r="K38" s="94">
        <f t="shared" si="7"/>
        <v>450</v>
      </c>
      <c r="L38" s="94">
        <f t="shared" si="8"/>
        <v>900</v>
      </c>
      <c r="M38" s="95">
        <f t="shared" si="9"/>
        <v>3052.5039999999999</v>
      </c>
      <c r="N38" s="93">
        <f t="shared" si="10"/>
        <v>800.99409149425264</v>
      </c>
      <c r="O38" s="96">
        <f t="shared" si="11"/>
        <v>3853.4980914942525</v>
      </c>
      <c r="P38" s="71">
        <v>22</v>
      </c>
      <c r="Q38" s="97">
        <f t="shared" si="12"/>
        <v>770.69961829885051</v>
      </c>
      <c r="R38" s="98"/>
    </row>
    <row r="39" spans="1:18" s="73" customFormat="1" ht="11.25" x14ac:dyDescent="0.2">
      <c r="A39" s="84">
        <v>2400</v>
      </c>
      <c r="B39" s="124">
        <v>60</v>
      </c>
      <c r="C39" s="86">
        <f t="shared" si="0"/>
        <v>246</v>
      </c>
      <c r="D39" s="87">
        <f t="shared" si="1"/>
        <v>30.75</v>
      </c>
      <c r="E39" s="125">
        <v>12</v>
      </c>
      <c r="F39" s="89">
        <f t="shared" si="2"/>
        <v>42.75</v>
      </c>
      <c r="G39" s="90">
        <f t="shared" si="3"/>
        <v>4.75</v>
      </c>
      <c r="H39" s="123">
        <f t="shared" si="4"/>
        <v>5</v>
      </c>
      <c r="I39" s="92">
        <f t="shared" si="5"/>
        <v>4.5</v>
      </c>
      <c r="J39" s="93">
        <f t="shared" si="6"/>
        <v>1774.644</v>
      </c>
      <c r="K39" s="94">
        <f t="shared" si="7"/>
        <v>450</v>
      </c>
      <c r="L39" s="94">
        <f t="shared" si="8"/>
        <v>900</v>
      </c>
      <c r="M39" s="95">
        <f t="shared" si="9"/>
        <v>3124.6440000000002</v>
      </c>
      <c r="N39" s="93">
        <f t="shared" si="10"/>
        <v>819.92403024630528</v>
      </c>
      <c r="O39" s="96">
        <f t="shared" si="11"/>
        <v>3944.5680302463056</v>
      </c>
      <c r="P39" s="71">
        <v>23</v>
      </c>
      <c r="Q39" s="97">
        <f t="shared" si="12"/>
        <v>788.91360604926115</v>
      </c>
      <c r="R39" s="98"/>
    </row>
    <row r="40" spans="1:18" s="73" customFormat="1" ht="11.25" x14ac:dyDescent="0.2">
      <c r="A40" s="84">
        <v>2500</v>
      </c>
      <c r="B40" s="124">
        <v>60</v>
      </c>
      <c r="C40" s="86">
        <f t="shared" si="0"/>
        <v>256</v>
      </c>
      <c r="D40" s="87">
        <f t="shared" si="1"/>
        <v>32</v>
      </c>
      <c r="E40" s="125">
        <v>12</v>
      </c>
      <c r="F40" s="89">
        <f t="shared" si="2"/>
        <v>44</v>
      </c>
      <c r="G40" s="90">
        <f t="shared" si="3"/>
        <v>4.8888888888888893</v>
      </c>
      <c r="H40" s="123">
        <f t="shared" si="4"/>
        <v>5</v>
      </c>
      <c r="I40" s="92">
        <f t="shared" si="5"/>
        <v>4.5</v>
      </c>
      <c r="J40" s="93">
        <f t="shared" si="6"/>
        <v>1846.7840000000001</v>
      </c>
      <c r="K40" s="94">
        <f t="shared" si="7"/>
        <v>450</v>
      </c>
      <c r="L40" s="94">
        <f t="shared" si="8"/>
        <v>900</v>
      </c>
      <c r="M40" s="95">
        <f t="shared" si="9"/>
        <v>3196.7840000000001</v>
      </c>
      <c r="N40" s="93">
        <f t="shared" si="10"/>
        <v>838.8539689983578</v>
      </c>
      <c r="O40" s="96">
        <f t="shared" si="11"/>
        <v>4035.6379689983578</v>
      </c>
      <c r="P40" s="71">
        <v>24</v>
      </c>
      <c r="Q40" s="97">
        <f t="shared" si="12"/>
        <v>807.12759379967156</v>
      </c>
      <c r="R40" s="98"/>
    </row>
    <row r="41" spans="1:18" s="73" customFormat="1" ht="11.25" x14ac:dyDescent="0.2">
      <c r="A41" s="84">
        <v>2600</v>
      </c>
      <c r="B41" s="124">
        <v>60</v>
      </c>
      <c r="C41" s="86">
        <f t="shared" si="0"/>
        <v>266</v>
      </c>
      <c r="D41" s="87">
        <f t="shared" si="1"/>
        <v>33.25</v>
      </c>
      <c r="E41" s="125">
        <v>12</v>
      </c>
      <c r="F41" s="89">
        <f t="shared" si="2"/>
        <v>45.25</v>
      </c>
      <c r="G41" s="90">
        <f t="shared" si="3"/>
        <v>5.0277777777777777</v>
      </c>
      <c r="H41" s="123">
        <f t="shared" si="4"/>
        <v>6</v>
      </c>
      <c r="I41" s="92">
        <f t="shared" si="5"/>
        <v>5.5</v>
      </c>
      <c r="J41" s="93">
        <f t="shared" si="6"/>
        <v>1918.9240000000002</v>
      </c>
      <c r="K41" s="94">
        <f t="shared" si="7"/>
        <v>540</v>
      </c>
      <c r="L41" s="94">
        <f t="shared" si="8"/>
        <v>1100</v>
      </c>
      <c r="M41" s="95">
        <f t="shared" si="9"/>
        <v>3558.924</v>
      </c>
      <c r="N41" s="93">
        <f t="shared" si="10"/>
        <v>933.88152679802931</v>
      </c>
      <c r="O41" s="96">
        <f t="shared" si="11"/>
        <v>4492.8055267980289</v>
      </c>
      <c r="P41" s="71">
        <v>25</v>
      </c>
      <c r="Q41" s="97">
        <f t="shared" si="12"/>
        <v>748.80092113300486</v>
      </c>
      <c r="R41" s="98"/>
    </row>
    <row r="42" spans="1:18" s="73" customFormat="1" ht="11.25" x14ac:dyDescent="0.2">
      <c r="A42" s="84">
        <v>2700</v>
      </c>
      <c r="B42" s="124">
        <v>60</v>
      </c>
      <c r="C42" s="86">
        <f t="shared" si="0"/>
        <v>276</v>
      </c>
      <c r="D42" s="87">
        <f t="shared" si="1"/>
        <v>34.5</v>
      </c>
      <c r="E42" s="125">
        <v>12</v>
      </c>
      <c r="F42" s="89">
        <f t="shared" si="2"/>
        <v>46.5</v>
      </c>
      <c r="G42" s="90">
        <f t="shared" si="3"/>
        <v>5.166666666666667</v>
      </c>
      <c r="H42" s="123">
        <f t="shared" si="4"/>
        <v>6</v>
      </c>
      <c r="I42" s="92">
        <f t="shared" si="5"/>
        <v>5.5</v>
      </c>
      <c r="J42" s="93">
        <f t="shared" si="6"/>
        <v>1991.0640000000001</v>
      </c>
      <c r="K42" s="94">
        <f t="shared" si="7"/>
        <v>540</v>
      </c>
      <c r="L42" s="94">
        <f t="shared" si="8"/>
        <v>1100</v>
      </c>
      <c r="M42" s="95">
        <f t="shared" si="9"/>
        <v>3631.0640000000003</v>
      </c>
      <c r="N42" s="93">
        <f t="shared" si="10"/>
        <v>952.81146555008195</v>
      </c>
      <c r="O42" s="96">
        <f t="shared" si="11"/>
        <v>4583.8754655500825</v>
      </c>
      <c r="P42" s="71">
        <v>26</v>
      </c>
      <c r="Q42" s="97">
        <f t="shared" si="12"/>
        <v>763.97924425834708</v>
      </c>
      <c r="R42" s="98"/>
    </row>
    <row r="43" spans="1:18" s="73" customFormat="1" ht="11.25" x14ac:dyDescent="0.2">
      <c r="A43" s="84">
        <v>2800</v>
      </c>
      <c r="B43" s="124">
        <v>60</v>
      </c>
      <c r="C43" s="86">
        <f t="shared" si="0"/>
        <v>286</v>
      </c>
      <c r="D43" s="87">
        <f t="shared" si="1"/>
        <v>35.75</v>
      </c>
      <c r="E43" s="125">
        <v>12</v>
      </c>
      <c r="F43" s="89">
        <f t="shared" si="2"/>
        <v>47.75</v>
      </c>
      <c r="G43" s="90">
        <f t="shared" si="3"/>
        <v>5.3055555555555554</v>
      </c>
      <c r="H43" s="123">
        <f t="shared" si="4"/>
        <v>6</v>
      </c>
      <c r="I43" s="92">
        <f t="shared" si="5"/>
        <v>5.5</v>
      </c>
      <c r="J43" s="93">
        <f t="shared" si="6"/>
        <v>2063.2040000000002</v>
      </c>
      <c r="K43" s="94">
        <f t="shared" si="7"/>
        <v>540</v>
      </c>
      <c r="L43" s="94">
        <f t="shared" si="8"/>
        <v>1100</v>
      </c>
      <c r="M43" s="95">
        <f t="shared" si="9"/>
        <v>3703.2040000000002</v>
      </c>
      <c r="N43" s="93">
        <f t="shared" si="10"/>
        <v>971.74140430213447</v>
      </c>
      <c r="O43" s="96">
        <f t="shared" si="11"/>
        <v>4674.9454043021342</v>
      </c>
      <c r="P43" s="71">
        <v>27</v>
      </c>
      <c r="Q43" s="97">
        <f t="shared" si="12"/>
        <v>779.15756738368907</v>
      </c>
      <c r="R43" s="98"/>
    </row>
    <row r="44" spans="1:18" s="112" customFormat="1" ht="11.25" x14ac:dyDescent="0.2">
      <c r="D44" s="113"/>
      <c r="E44" s="114"/>
      <c r="F44" s="115"/>
      <c r="G44" s="116"/>
      <c r="H44" s="116"/>
      <c r="I44" s="116"/>
      <c r="J44" s="116"/>
      <c r="N44" s="73"/>
      <c r="O44" s="117"/>
      <c r="P44" s="118"/>
      <c r="Q44" s="119">
        <f>SUM(Q17:Q43)</f>
        <v>17883.610654775042</v>
      </c>
    </row>
    <row r="45" spans="1:18" x14ac:dyDescent="0.2">
      <c r="O45" s="120"/>
      <c r="Q45" s="119">
        <f>Q44/27</f>
        <v>662.35595017685341</v>
      </c>
    </row>
    <row r="50" s="41" customFormat="1" ht="11.25" x14ac:dyDescent="0.2"/>
    <row r="51" s="41" customFormat="1" ht="11.25" x14ac:dyDescent="0.2"/>
    <row r="52" s="41" customFormat="1" ht="11.25" x14ac:dyDescent="0.2"/>
    <row r="53" s="41" customFormat="1" ht="11.25" x14ac:dyDescent="0.2"/>
    <row r="54" s="41" customFormat="1" ht="11.25" x14ac:dyDescent="0.2"/>
    <row r="55" s="41" customFormat="1" ht="11.25" x14ac:dyDescent="0.2"/>
    <row r="57" s="41" customFormat="1" ht="11.25" x14ac:dyDescent="0.2"/>
  </sheetData>
  <mergeCells count="11">
    <mergeCell ref="A11:E11"/>
    <mergeCell ref="A6:E6"/>
    <mergeCell ref="A7:E7"/>
    <mergeCell ref="A8:E8"/>
    <mergeCell ref="A9:E9"/>
    <mergeCell ref="A10:E10"/>
    <mergeCell ref="A1:O1"/>
    <mergeCell ref="A2:O2"/>
    <mergeCell ref="A3:F3"/>
    <mergeCell ref="A4:F4"/>
    <mergeCell ref="A5:E5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11</vt:i4>
      </vt:variant>
    </vt:vector>
  </HeadingPairs>
  <TitlesOfParts>
    <vt:vector size="27" baseType="lpstr">
      <vt:lpstr>RESUMO</vt:lpstr>
      <vt:lpstr>arqeng</vt:lpstr>
      <vt:lpstr>engmec</vt:lpstr>
      <vt:lpstr>engeletr</vt:lpstr>
      <vt:lpstr>EPIs</vt:lpstr>
      <vt:lpstr>Hora extra</vt:lpstr>
      <vt:lpstr>Deslocamento 1 município</vt:lpstr>
      <vt:lpstr>Deslocamento 2 municípios</vt:lpstr>
      <vt:lpstr>Deslocamento 3 municípios</vt:lpstr>
      <vt:lpstr>Deslocamento 4 municípios</vt:lpstr>
      <vt:lpstr>Deslocamento 5 municípios</vt:lpstr>
      <vt:lpstr>DESLOC.MÉDIO</vt:lpstr>
      <vt:lpstr>Valor médio gasolina comum</vt:lpstr>
      <vt:lpstr>Valor médio de diárias de carro</vt:lpstr>
      <vt:lpstr>Valor diarias de hotel e alimen</vt:lpstr>
      <vt:lpstr>Plan1</vt:lpstr>
      <vt:lpstr>arqeng!Area_de_impressao</vt:lpstr>
      <vt:lpstr>DESLOC.MÉDIO!Area_de_impressao</vt:lpstr>
      <vt:lpstr>'Deslocamento 1 município'!Area_de_impressao</vt:lpstr>
      <vt:lpstr>'Deslocamento 2 municípios'!Area_de_impressao</vt:lpstr>
      <vt:lpstr>'Deslocamento 3 municípios'!Area_de_impressao</vt:lpstr>
      <vt:lpstr>'Deslocamento 4 municípios'!Area_de_impressao</vt:lpstr>
      <vt:lpstr>'Deslocamento 5 municípios'!Area_de_impressao</vt:lpstr>
      <vt:lpstr>engeletr!Area_de_impressao</vt:lpstr>
      <vt:lpstr>engmec!Area_de_impressao</vt:lpstr>
      <vt:lpstr>RESUMO!Area_de_impressao</vt:lpstr>
      <vt:lpstr>RESUMO!Print_Area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Pregão Eletrônico 087-2014 - Contratação de empresa para prestação de serviços de engenharia e arquitetura.Repetição</dc:title>
  <dc:creator>092449090531</dc:creator>
  <cp:keywords>() () ()</cp:keywords>
  <cp:lastModifiedBy>Milena Austregesilo Hereda</cp:lastModifiedBy>
  <cp:revision>7</cp:revision>
  <cp:lastPrinted>2022-05-23T15:52:32Z</cp:lastPrinted>
  <dcterms:created xsi:type="dcterms:W3CDTF">2014-12-17T07:16:52Z</dcterms:created>
  <dcterms:modified xsi:type="dcterms:W3CDTF">2022-07-09T18:38:28Z</dcterms:modified>
  <dc:language>pt-BR</dc:language>
</cp:coreProperties>
</file>